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<sst xmlns="http://schemas.openxmlformats.org/spreadsheetml/2006/main" count="190" uniqueCount="106">
  <si>
    <t>Date:</t>
  </si>
  <si>
    <t>DOB:</t>
  </si>
  <si>
    <t>Dose Range</t>
  </si>
  <si>
    <t>Dilution</t>
  </si>
  <si>
    <t>ml</t>
  </si>
  <si>
    <t>Based on:</t>
  </si>
  <si>
    <t>mg</t>
  </si>
  <si>
    <t>2mg/kg</t>
  </si>
  <si>
    <t>0.1ml/kg</t>
  </si>
  <si>
    <t>0.2ml/kg</t>
  </si>
  <si>
    <t>none</t>
  </si>
  <si>
    <t>0.11 mmol/kg</t>
  </si>
  <si>
    <t>0.5ml/kg</t>
  </si>
  <si>
    <t>mmol</t>
  </si>
  <si>
    <t>0.4mmol/kg</t>
  </si>
  <si>
    <t>ml/hour</t>
  </si>
  <si>
    <t>signature</t>
  </si>
  <si>
    <t>Weight</t>
  </si>
  <si>
    <t>kg</t>
  </si>
  <si>
    <t>Dose</t>
  </si>
  <si>
    <t>g</t>
  </si>
  <si>
    <t>further doses of 10mg/kg at intervals of 30-60 mins, max 40mg/kg</t>
  </si>
  <si>
    <t>Hosp #</t>
  </si>
  <si>
    <t>1-2mg/kg</t>
  </si>
  <si>
    <t>=</t>
  </si>
  <si>
    <t xml:space="preserve"> ml per day</t>
  </si>
  <si>
    <t>0.5mg/kg</t>
  </si>
  <si>
    <t>Oral</t>
  </si>
  <si>
    <t>Nasal</t>
  </si>
  <si>
    <t>none (0.22mmol/ml)</t>
  </si>
  <si>
    <t>none (2mmol/ml)</t>
  </si>
  <si>
    <t xml:space="preserve">  * SLOW *</t>
  </si>
  <si>
    <t>(ml)</t>
  </si>
  <si>
    <t>Dilute</t>
  </si>
  <si>
    <t>ml/hr = 1mg/kg/hr = 0.04ml/kg/hr</t>
  </si>
  <si>
    <t>2.5ml/kg</t>
  </si>
  <si>
    <t>Fluid calculations based on:</t>
  </si>
  <si>
    <t>Name</t>
  </si>
  <si>
    <t>(Doctor)</t>
  </si>
  <si>
    <t>(Nurse)</t>
  </si>
  <si>
    <t>0.0003 u/kg/min</t>
  </si>
  <si>
    <t>1ml/h = 0.0003 u/kg/min</t>
  </si>
  <si>
    <t>1-2mmol/kg</t>
  </si>
  <si>
    <t>1-2ml/kg</t>
  </si>
  <si>
    <r>
      <t xml:space="preserve">This sheet is a guide for IV therapy, you must check and verify </t>
    </r>
    <r>
      <rPr>
        <b/>
        <sz val="8"/>
        <rFont val="Arial"/>
        <family val="2"/>
      </rPr>
      <t>ALL</t>
    </r>
    <r>
      <rPr>
        <sz val="8"/>
        <rFont val="Arial"/>
        <family val="2"/>
      </rPr>
      <t xml:space="preserve"> doses</t>
    </r>
  </si>
  <si>
    <t>100-200microg/kg</t>
  </si>
  <si>
    <t>10 microg/kg</t>
  </si>
  <si>
    <t>1ml/h = 0.1microg/kg/min</t>
  </si>
  <si>
    <t>1-10 microg/kg/min</t>
  </si>
  <si>
    <t>3-20 microg/kg/min</t>
  </si>
  <si>
    <t>0.05-2 microg/kg/min</t>
  </si>
  <si>
    <t xml:space="preserve">200mg made up to 10ml with WFI, then give 1ml/kg = 20mg/kg </t>
  </si>
  <si>
    <r>
      <t xml:space="preserve">This sheet is a guide for IV therapy, user must verify </t>
    </r>
    <r>
      <rPr>
        <b/>
        <sz val="8"/>
        <rFont val="Arial"/>
        <family val="2"/>
      </rPr>
      <t>ALL</t>
    </r>
    <r>
      <rPr>
        <sz val="8"/>
        <rFont val="Arial"/>
        <family val="2"/>
      </rPr>
      <t xml:space="preserve"> doses</t>
    </r>
  </si>
  <si>
    <t>n</t>
  </si>
  <si>
    <r>
      <t xml:space="preserve">n </t>
    </r>
    <r>
      <rPr>
        <sz val="8"/>
        <color indexed="10"/>
        <rFont val="Arial"/>
        <family val="2"/>
      </rPr>
      <t>Central administration advised</t>
    </r>
  </si>
  <si>
    <t>ml/hr = 1microg/kg/min = 0.06ml/kg/h</t>
  </si>
  <si>
    <t>0.25-1.0 microg/kg/min</t>
  </si>
  <si>
    <t>0.17ml/kg</t>
  </si>
  <si>
    <t>n g</t>
  </si>
  <si>
    <r>
      <t xml:space="preserve">g </t>
    </r>
    <r>
      <rPr>
        <sz val="8"/>
        <color indexed="10"/>
        <rFont val="Arial"/>
        <family val="2"/>
      </rPr>
      <t>INTUBATED PATIENTS ONLY</t>
    </r>
  </si>
  <si>
    <t>1ml/h = 5 microg/kg/min</t>
  </si>
  <si>
    <t>0.5 g/kg</t>
  </si>
  <si>
    <t>1 mmol/kg</t>
  </si>
  <si>
    <t>1ml/h = 20 microg/kg/hr</t>
  </si>
  <si>
    <t>Asthma</t>
  </si>
  <si>
    <r>
      <t>¯</t>
    </r>
    <r>
      <rPr>
        <b/>
        <sz val="10"/>
        <rFont val="Arial"/>
        <family val="2"/>
      </rPr>
      <t>Mg</t>
    </r>
  </si>
  <si>
    <t>none (500mg/ml)</t>
  </si>
  <si>
    <t>Length (cm)</t>
  </si>
  <si>
    <t>40mg/kg</t>
  </si>
  <si>
    <t>0.08ml/kg</t>
  </si>
  <si>
    <t>0.25-1g/kg</t>
  </si>
  <si>
    <t>0.8ml/kg</t>
  </si>
  <si>
    <r>
      <rPr>
        <b/>
        <sz val="10"/>
        <rFont val="Arial"/>
        <family val="2"/>
      </rPr>
      <t>Dilute</t>
    </r>
    <r>
      <rPr>
        <sz val="8"/>
        <rFont val="Arial"/>
        <family val="2"/>
      </rPr>
      <t xml:space="preserve"> to 0.5mmol/ml</t>
    </r>
  </si>
  <si>
    <t>ml/h = 1 microg/kg/min</t>
  </si>
  <si>
    <t>1mg/kg</t>
  </si>
  <si>
    <t>20mg/kg loading dose over 30 mins</t>
  </si>
  <si>
    <t>Intubation (Ampule Strength)</t>
  </si>
  <si>
    <t>Emergency</t>
  </si>
  <si>
    <t>Infusions</t>
  </si>
  <si>
    <t>200mg/kg</t>
  </si>
  <si>
    <t xml:space="preserve">  + start maintenance</t>
  </si>
  <si>
    <t>300-1000microg/kg/h</t>
  </si>
  <si>
    <t>ml/h = 300microg/kg/h</t>
  </si>
  <si>
    <t>mg made up to 50ml with D5W or 0.9%</t>
  </si>
  <si>
    <t>Infusion Diluents</t>
  </si>
  <si>
    <t>0.9% = 0.9% Saline</t>
  </si>
  <si>
    <t>D5W = 5% Dextrose</t>
  </si>
  <si>
    <t>mg made up to 25ml with D5W or 0.9%</t>
  </si>
  <si>
    <t>u    made up to 50ml with D5W or 0.9%</t>
  </si>
  <si>
    <t>mg made up to 50ml with D5W</t>
  </si>
  <si>
    <t>Atracurium 10mg/ml</t>
  </si>
  <si>
    <t>0.05ml/kg</t>
  </si>
  <si>
    <t>Ketamine 50mg/ml</t>
  </si>
  <si>
    <t>0.02-0.04ml/kg</t>
  </si>
  <si>
    <t>Midazolam 2mg/ml</t>
  </si>
  <si>
    <t>0.05-0.1ml/kg</t>
  </si>
  <si>
    <t>Suxamethonium 100mg/2ml</t>
  </si>
  <si>
    <t>Thiopental 500mg powder</t>
  </si>
  <si>
    <r>
      <t xml:space="preserve">Atropine 100microg/ml </t>
    </r>
    <r>
      <rPr>
        <b/>
        <i/>
        <sz val="8"/>
        <rFont val="Arial"/>
        <family val="2"/>
      </rPr>
      <t>(Min-i-jet)</t>
    </r>
  </si>
  <si>
    <t>2ml/kg</t>
  </si>
  <si>
    <t>Fentanyl 50 microg/ml</t>
  </si>
  <si>
    <t>microg</t>
  </si>
  <si>
    <t>1-5 microg/kg</t>
  </si>
  <si>
    <t>0.04ml/kg</t>
  </si>
  <si>
    <t>2 microg/kg</t>
  </si>
  <si>
    <r>
      <rPr>
        <sz val="7"/>
        <rFont val="Symbol"/>
        <family val="1"/>
      </rPr>
      <t>ã</t>
    </r>
    <r>
      <rPr>
        <sz val="7"/>
        <rFont val="Cambria"/>
        <family val="1"/>
      </rPr>
      <t xml:space="preserve"> Peter-Marc Fortune &amp; Adam Sutherland, RMCH, Version 12.0, 5/3/18, </t>
    </r>
    <r>
      <rPr>
        <b/>
        <sz val="7"/>
        <rFont val="Cambria"/>
        <family val="1"/>
      </rPr>
      <t>Expiry Date 31/1/25</t>
    </r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</si>
</sst>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a"/>
    <numFmt numFmtId="173" formatCode="0.0"/>
    <numFmt numFmtId="174" formatCode="#\ ?/2"/>
  </numFmts>
  <fonts count="89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color indexed="9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i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color indexed="18"/>
      <name val="Arial"/>
      <family val="2"/>
    </font>
    <font>
      <sz val="10"/>
      <color indexed="53"/>
      <name val="Arial"/>
      <family val="2"/>
    </font>
    <font>
      <sz val="12"/>
      <name val="Arial"/>
      <family val="2"/>
    </font>
    <font>
      <sz val="10"/>
      <color indexed="10"/>
      <name val="Webdings"/>
      <family val="1"/>
    </font>
    <font>
      <sz val="8"/>
      <color indexed="10"/>
      <name val="Webdings"/>
      <family val="1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name val="Symbol"/>
      <family val="1"/>
    </font>
    <font>
      <sz val="9"/>
      <color indexed="17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i/>
      <sz val="9"/>
      <color indexed="17"/>
      <name val="Arial"/>
      <family val="2"/>
    </font>
    <font>
      <sz val="7"/>
      <name val="Cambria"/>
      <family val="1"/>
    </font>
    <font>
      <b/>
      <sz val="7"/>
      <name val="Cambria"/>
      <family val="1"/>
    </font>
    <font>
      <sz val="7"/>
      <name val="Symbol"/>
      <family val="1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53"/>
      <name val="Arial"/>
      <family val="2"/>
    </font>
    <font>
      <sz val="8"/>
      <color indexed="53"/>
      <name val="Arial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i/>
      <sz val="10"/>
      <color rgb="FFFF6600"/>
      <name val="Arial"/>
      <family val="2"/>
    </font>
    <font>
      <sz val="8"/>
      <color rgb="FFFF6600"/>
      <name val="Arial"/>
      <family val="2"/>
    </font>
    <font>
      <sz val="10"/>
      <color rgb="FFFF6600"/>
      <name val="Arial"/>
      <family val="2"/>
    </font>
    <font>
      <b/>
      <sz val="10"/>
      <color rgb="FFFF66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A1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5" fontId="5" fillId="33" borderId="10" xfId="0" applyNumberFormat="1" applyFont="1" applyFill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6" fillId="34" borderId="12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34" borderId="12" xfId="0" applyFont="1" applyFill="1" applyBorder="1" applyAlignment="1" applyProtection="1">
      <alignment/>
      <protection/>
    </xf>
    <xf numFmtId="0" fontId="4" fillId="35" borderId="11" xfId="0" applyFont="1" applyFill="1" applyBorder="1" applyAlignment="1" applyProtection="1">
      <alignment/>
      <protection/>
    </xf>
    <xf numFmtId="0" fontId="3" fillId="35" borderId="12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8" fillId="35" borderId="12" xfId="0" applyFont="1" applyFill="1" applyBorder="1" applyAlignment="1" applyProtection="1">
      <alignment horizontal="right"/>
      <protection/>
    </xf>
    <xf numFmtId="0" fontId="4" fillId="35" borderId="12" xfId="0" applyFont="1" applyFill="1" applyBorder="1" applyAlignment="1" applyProtection="1">
      <alignment horizontal="right"/>
      <protection/>
    </xf>
    <xf numFmtId="0" fontId="4" fillId="35" borderId="14" xfId="0" applyFont="1" applyFill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2" fontId="6" fillId="0" borderId="16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2" fontId="6" fillId="0" borderId="12" xfId="0" applyNumberFormat="1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15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6" fillId="0" borderId="16" xfId="0" applyFont="1" applyBorder="1" applyAlignment="1" applyProtection="1">
      <alignment/>
      <protection/>
    </xf>
    <xf numFmtId="2" fontId="14" fillId="0" borderId="16" xfId="0" applyNumberFormat="1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16" fillId="0" borderId="12" xfId="0" applyFont="1" applyBorder="1" applyAlignment="1" applyProtection="1">
      <alignment/>
      <protection/>
    </xf>
    <xf numFmtId="2" fontId="6" fillId="0" borderId="12" xfId="0" applyNumberFormat="1" applyFont="1" applyBorder="1" applyAlignment="1" applyProtection="1">
      <alignment horizontal="right"/>
      <protection/>
    </xf>
    <xf numFmtId="173" fontId="6" fillId="0" borderId="12" xfId="0" applyNumberFormat="1" applyFont="1" applyBorder="1" applyAlignment="1" applyProtection="1">
      <alignment/>
      <protection/>
    </xf>
    <xf numFmtId="1" fontId="6" fillId="0" borderId="12" xfId="0" applyNumberFormat="1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2" fontId="6" fillId="0" borderId="17" xfId="0" applyNumberFormat="1" applyFont="1" applyBorder="1" applyAlignment="1" applyProtection="1">
      <alignment/>
      <protection/>
    </xf>
    <xf numFmtId="173" fontId="10" fillId="0" borderId="18" xfId="0" applyNumberFormat="1" applyFont="1" applyFill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9" fontId="9" fillId="0" borderId="11" xfId="0" applyNumberFormat="1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9" fontId="9" fillId="0" borderId="19" xfId="0" applyNumberFormat="1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173" fontId="6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right"/>
      <protection/>
    </xf>
    <xf numFmtId="0" fontId="11" fillId="0" borderId="12" xfId="0" applyFont="1" applyFill="1" applyBorder="1" applyAlignment="1" applyProtection="1">
      <alignment horizontal="right"/>
      <protection/>
    </xf>
    <xf numFmtId="15" fontId="5" fillId="33" borderId="13" xfId="0" applyNumberFormat="1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15" fontId="13" fillId="0" borderId="17" xfId="0" applyNumberFormat="1" applyFont="1" applyFill="1" applyBorder="1" applyAlignment="1" applyProtection="1">
      <alignment horizontal="left"/>
      <protection/>
    </xf>
    <xf numFmtId="0" fontId="11" fillId="0" borderId="16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18" fillId="36" borderId="11" xfId="0" applyFont="1" applyFill="1" applyBorder="1" applyAlignment="1" applyProtection="1">
      <alignment/>
      <protection/>
    </xf>
    <xf numFmtId="0" fontId="3" fillId="36" borderId="12" xfId="0" applyFont="1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 horizontal="left"/>
      <protection/>
    </xf>
    <xf numFmtId="0" fontId="3" fillId="36" borderId="13" xfId="0" applyFont="1" applyFill="1" applyBorder="1" applyAlignment="1" applyProtection="1">
      <alignment/>
      <protection/>
    </xf>
    <xf numFmtId="0" fontId="3" fillId="36" borderId="12" xfId="0" applyFont="1" applyFill="1" applyBorder="1" applyAlignment="1" applyProtection="1">
      <alignment horizontal="left"/>
      <protection/>
    </xf>
    <xf numFmtId="0" fontId="5" fillId="36" borderId="14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2" fontId="6" fillId="0" borderId="12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0" fontId="4" fillId="35" borderId="17" xfId="0" applyFont="1" applyFill="1" applyBorder="1" applyAlignment="1" applyProtection="1">
      <alignment horizontal="right"/>
      <protection/>
    </xf>
    <xf numFmtId="0" fontId="0" fillId="35" borderId="17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 horizontal="right"/>
      <protection/>
    </xf>
    <xf numFmtId="2" fontId="0" fillId="0" borderId="12" xfId="0" applyNumberFormat="1" applyFont="1" applyBorder="1" applyAlignment="1" applyProtection="1">
      <alignment horizontal="left"/>
      <protection/>
    </xf>
    <xf numFmtId="2" fontId="7" fillId="0" borderId="12" xfId="0" applyNumberFormat="1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" fillId="35" borderId="13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5" fontId="5" fillId="33" borderId="1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0" fontId="22" fillId="0" borderId="16" xfId="0" applyFont="1" applyBorder="1" applyAlignment="1" applyProtection="1">
      <alignment/>
      <protection/>
    </xf>
    <xf numFmtId="0" fontId="22" fillId="0" borderId="20" xfId="0" applyFont="1" applyBorder="1" applyAlignment="1" applyProtection="1">
      <alignment/>
      <protection/>
    </xf>
    <xf numFmtId="0" fontId="21" fillId="0" borderId="19" xfId="0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0" fontId="24" fillId="0" borderId="19" xfId="0" applyFont="1" applyBorder="1" applyAlignment="1" applyProtection="1">
      <alignment/>
      <protection/>
    </xf>
    <xf numFmtId="0" fontId="25" fillId="0" borderId="17" xfId="0" applyFont="1" applyBorder="1" applyAlignment="1" applyProtection="1">
      <alignment/>
      <protection/>
    </xf>
    <xf numFmtId="0" fontId="24" fillId="0" borderId="11" xfId="0" applyFont="1" applyBorder="1" applyAlignment="1" applyProtection="1">
      <alignment/>
      <protection/>
    </xf>
    <xf numFmtId="0" fontId="25" fillId="0" borderId="16" xfId="0" applyFont="1" applyFill="1" applyBorder="1" applyAlignment="1" applyProtection="1">
      <alignment/>
      <protection/>
    </xf>
    <xf numFmtId="0" fontId="27" fillId="0" borderId="11" xfId="0" applyFont="1" applyBorder="1" applyAlignment="1" applyProtection="1">
      <alignment/>
      <protection/>
    </xf>
    <xf numFmtId="0" fontId="28" fillId="0" borderId="12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8" fillId="0" borderId="20" xfId="0" applyFont="1" applyBorder="1" applyAlignment="1" applyProtection="1">
      <alignment/>
      <protection/>
    </xf>
    <xf numFmtId="0" fontId="27" fillId="0" borderId="19" xfId="0" applyFont="1" applyBorder="1" applyAlignment="1" applyProtection="1">
      <alignment/>
      <protection/>
    </xf>
    <xf numFmtId="0" fontId="22" fillId="0" borderId="19" xfId="0" applyFont="1" applyBorder="1" applyAlignment="1" applyProtection="1">
      <alignment/>
      <protection/>
    </xf>
    <xf numFmtId="0" fontId="22" fillId="0" borderId="15" xfId="0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0" fontId="30" fillId="0" borderId="17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30" fillId="0" borderId="15" xfId="0" applyFont="1" applyBorder="1" applyAlignment="1" applyProtection="1">
      <alignment/>
      <protection/>
    </xf>
    <xf numFmtId="0" fontId="30" fillId="0" borderId="16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/>
      <protection/>
    </xf>
    <xf numFmtId="0" fontId="22" fillId="0" borderId="14" xfId="0" applyFont="1" applyBorder="1" applyAlignment="1" applyProtection="1">
      <alignment/>
      <protection/>
    </xf>
    <xf numFmtId="0" fontId="25" fillId="0" borderId="17" xfId="0" applyFont="1" applyBorder="1" applyAlignment="1" applyProtection="1">
      <alignment/>
      <protection/>
    </xf>
    <xf numFmtId="1" fontId="17" fillId="0" borderId="0" xfId="0" applyNumberFormat="1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0" fontId="28" fillId="0" borderId="12" xfId="0" applyFont="1" applyBorder="1" applyAlignment="1" applyProtection="1">
      <alignment/>
      <protection/>
    </xf>
    <xf numFmtId="0" fontId="28" fillId="0" borderId="17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/>
      <protection/>
    </xf>
    <xf numFmtId="0" fontId="28" fillId="0" borderId="12" xfId="0" applyFont="1" applyBorder="1" applyAlignment="1" applyProtection="1">
      <alignment/>
      <protection/>
    </xf>
    <xf numFmtId="0" fontId="28" fillId="0" borderId="13" xfId="0" applyFont="1" applyBorder="1" applyAlignment="1" applyProtection="1">
      <alignment/>
      <protection/>
    </xf>
    <xf numFmtId="2" fontId="29" fillId="0" borderId="12" xfId="0" applyNumberFormat="1" applyFont="1" applyBorder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6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0" xfId="0" applyFont="1" applyBorder="1" applyAlignment="1" applyProtection="1">
      <alignment/>
      <protection/>
    </xf>
    <xf numFmtId="173" fontId="6" fillId="0" borderId="0" xfId="0" applyNumberFormat="1" applyFont="1" applyBorder="1" applyAlignment="1" applyProtection="1">
      <alignment horizontal="right"/>
      <protection/>
    </xf>
    <xf numFmtId="0" fontId="5" fillId="34" borderId="20" xfId="0" applyFont="1" applyFill="1" applyBorder="1" applyAlignment="1" applyProtection="1">
      <alignment/>
      <protection/>
    </xf>
    <xf numFmtId="0" fontId="34" fillId="0" borderId="0" xfId="0" applyFont="1" applyAlignment="1">
      <alignment/>
    </xf>
    <xf numFmtId="0" fontId="7" fillId="0" borderId="0" xfId="0" applyFont="1" applyAlignment="1">
      <alignment horizontal="right"/>
    </xf>
    <xf numFmtId="0" fontId="25" fillId="0" borderId="12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2" fontId="26" fillId="0" borderId="12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25" fillId="0" borderId="13" xfId="0" applyFont="1" applyBorder="1" applyAlignment="1" applyProtection="1">
      <alignment/>
      <protection/>
    </xf>
    <xf numFmtId="1" fontId="6" fillId="0" borderId="15" xfId="0" applyNumberFormat="1" applyFont="1" applyBorder="1" applyAlignment="1" applyProtection="1">
      <alignment horizontal="right"/>
      <protection/>
    </xf>
    <xf numFmtId="0" fontId="17" fillId="0" borderId="16" xfId="0" applyFont="1" applyFill="1" applyBorder="1" applyAlignment="1" applyProtection="1">
      <alignment horizontal="left"/>
      <protection/>
    </xf>
    <xf numFmtId="0" fontId="5" fillId="34" borderId="16" xfId="0" applyFont="1" applyFill="1" applyBorder="1" applyAlignment="1" applyProtection="1">
      <alignment horizontal="left"/>
      <protection/>
    </xf>
    <xf numFmtId="2" fontId="29" fillId="0" borderId="16" xfId="0" applyNumberFormat="1" applyFont="1" applyBorder="1" applyAlignment="1" applyProtection="1">
      <alignment horizontal="right"/>
      <protection/>
    </xf>
    <xf numFmtId="173" fontId="26" fillId="0" borderId="0" xfId="0" applyNumberFormat="1" applyFont="1" applyBorder="1" applyAlignment="1" applyProtection="1">
      <alignment horizontal="right"/>
      <protection/>
    </xf>
    <xf numFmtId="0" fontId="23" fillId="0" borderId="0" xfId="0" applyFont="1" applyBorder="1" applyAlignment="1" applyProtection="1">
      <alignment horizontal="right"/>
      <protection/>
    </xf>
    <xf numFmtId="2" fontId="23" fillId="0" borderId="12" xfId="0" applyNumberFormat="1" applyFont="1" applyBorder="1" applyAlignment="1" applyProtection="1">
      <alignment horizontal="right"/>
      <protection/>
    </xf>
    <xf numFmtId="2" fontId="14" fillId="0" borderId="12" xfId="0" applyNumberFormat="1" applyFont="1" applyBorder="1" applyAlignment="1" applyProtection="1">
      <alignment horizontal="right"/>
      <protection/>
    </xf>
    <xf numFmtId="0" fontId="22" fillId="0" borderId="16" xfId="0" applyFont="1" applyBorder="1" applyAlignment="1" applyProtection="1">
      <alignment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4" fillId="35" borderId="12" xfId="0" applyFont="1" applyFill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173" fontId="0" fillId="0" borderId="13" xfId="0" applyNumberFormat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4" fillId="0" borderId="12" xfId="0" applyFont="1" applyBorder="1" applyAlignment="1" applyProtection="1">
      <alignment horizontal="center"/>
      <protection/>
    </xf>
    <xf numFmtId="0" fontId="34" fillId="0" borderId="17" xfId="0" applyFont="1" applyBorder="1" applyAlignment="1" applyProtection="1">
      <alignment horizontal="center"/>
      <protection/>
    </xf>
    <xf numFmtId="0" fontId="34" fillId="0" borderId="16" xfId="0" applyFont="1" applyBorder="1" applyAlignment="1" applyProtection="1">
      <alignment horizontal="center"/>
      <protection/>
    </xf>
    <xf numFmtId="0" fontId="33" fillId="0" borderId="16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7" fillId="37" borderId="13" xfId="0" applyFont="1" applyFill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4" fillId="0" borderId="19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/>
      <protection/>
    </xf>
    <xf numFmtId="0" fontId="37" fillId="38" borderId="12" xfId="0" applyFont="1" applyFill="1" applyBorder="1" applyAlignment="1" applyProtection="1">
      <alignment horizontal="center"/>
      <protection/>
    </xf>
    <xf numFmtId="0" fontId="6" fillId="38" borderId="16" xfId="0" applyFont="1" applyFill="1" applyBorder="1" applyAlignment="1" applyProtection="1">
      <alignment horizontal="center"/>
      <protection/>
    </xf>
    <xf numFmtId="0" fontId="37" fillId="38" borderId="13" xfId="0" applyFont="1" applyFill="1" applyBorder="1" applyAlignment="1" applyProtection="1">
      <alignment horizontal="center"/>
      <protection/>
    </xf>
    <xf numFmtId="174" fontId="5" fillId="36" borderId="12" xfId="0" applyNumberFormat="1" applyFont="1" applyFill="1" applyBorder="1" applyAlignment="1" applyProtection="1">
      <alignment horizontal="center"/>
      <protection/>
    </xf>
    <xf numFmtId="174" fontId="5" fillId="36" borderId="12" xfId="0" applyNumberFormat="1" applyFont="1" applyFill="1" applyBorder="1" applyAlignment="1" applyProtection="1">
      <alignment/>
      <protection/>
    </xf>
    <xf numFmtId="174" fontId="5" fillId="36" borderId="12" xfId="0" applyNumberFormat="1" applyFont="1" applyFill="1" applyBorder="1" applyAlignment="1" applyProtection="1">
      <alignment horizontal="left"/>
      <protection/>
    </xf>
    <xf numFmtId="0" fontId="3" fillId="36" borderId="12" xfId="0" applyFont="1" applyFill="1" applyBorder="1" applyAlignment="1" applyProtection="1">
      <alignment horizontal="center"/>
      <protection/>
    </xf>
    <xf numFmtId="173" fontId="25" fillId="0" borderId="12" xfId="0" applyNumberFormat="1" applyFont="1" applyBorder="1" applyAlignment="1" applyProtection="1">
      <alignment/>
      <protection/>
    </xf>
    <xf numFmtId="0" fontId="7" fillId="0" borderId="12" xfId="0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/>
      <protection/>
    </xf>
    <xf numFmtId="0" fontId="82" fillId="39" borderId="13" xfId="0" applyFont="1" applyFill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83" fillId="0" borderId="19" xfId="0" applyFont="1" applyBorder="1" applyAlignment="1" applyProtection="1">
      <alignment horizontal="left" vertical="center"/>
      <protection/>
    </xf>
    <xf numFmtId="0" fontId="84" fillId="0" borderId="17" xfId="0" applyFont="1" applyBorder="1" applyAlignment="1" applyProtection="1">
      <alignment horizontal="center"/>
      <protection/>
    </xf>
    <xf numFmtId="0" fontId="85" fillId="0" borderId="17" xfId="0" applyFont="1" applyBorder="1" applyAlignment="1" applyProtection="1">
      <alignment/>
      <protection/>
    </xf>
    <xf numFmtId="2" fontId="86" fillId="0" borderId="12" xfId="0" applyNumberFormat="1" applyFont="1" applyBorder="1" applyAlignment="1" applyProtection="1">
      <alignment horizontal="right"/>
      <protection/>
    </xf>
    <xf numFmtId="0" fontId="85" fillId="0" borderId="17" xfId="0" applyFont="1" applyBorder="1" applyAlignment="1" applyProtection="1">
      <alignment/>
      <protection/>
    </xf>
    <xf numFmtId="0" fontId="41" fillId="0" borderId="15" xfId="0" applyFont="1" applyBorder="1" applyAlignment="1" applyProtection="1">
      <alignment vertical="center"/>
      <protection/>
    </xf>
    <xf numFmtId="14" fontId="87" fillId="0" borderId="0" xfId="0" applyNumberFormat="1" applyFont="1" applyAlignment="1" applyProtection="1">
      <alignment/>
      <protection/>
    </xf>
    <xf numFmtId="0" fontId="88" fillId="33" borderId="13" xfId="0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2" fontId="23" fillId="0" borderId="12" xfId="0" applyNumberFormat="1" applyFont="1" applyBorder="1" applyAlignment="1" applyProtection="1">
      <alignment/>
      <protection/>
    </xf>
    <xf numFmtId="0" fontId="31" fillId="34" borderId="12" xfId="0" applyFont="1" applyFill="1" applyBorder="1" applyAlignment="1">
      <alignment/>
    </xf>
    <xf numFmtId="0" fontId="17" fillId="34" borderId="13" xfId="0" applyFont="1" applyFill="1" applyBorder="1" applyAlignment="1">
      <alignment horizontal="right"/>
    </xf>
    <xf numFmtId="173" fontId="5" fillId="34" borderId="16" xfId="0" applyNumberFormat="1" applyFont="1" applyFill="1" applyBorder="1" applyAlignment="1" applyProtection="1">
      <alignment horizontal="center"/>
      <protection locked="0"/>
    </xf>
    <xf numFmtId="173" fontId="17" fillId="34" borderId="12" xfId="0" applyNumberFormat="1" applyFont="1" applyFill="1" applyBorder="1" applyAlignment="1" applyProtection="1">
      <alignment horizontal="center"/>
      <protection/>
    </xf>
    <xf numFmtId="0" fontId="6" fillId="38" borderId="14" xfId="0" applyFont="1" applyFill="1" applyBorder="1" applyAlignment="1" applyProtection="1">
      <alignment horizontal="left"/>
      <protection/>
    </xf>
    <xf numFmtId="0" fontId="22" fillId="0" borderId="12" xfId="0" applyFont="1" applyBorder="1" applyAlignment="1" applyProtection="1">
      <alignment/>
      <protection/>
    </xf>
    <xf numFmtId="0" fontId="22" fillId="0" borderId="13" xfId="0" applyFont="1" applyBorder="1" applyAlignment="1" applyProtection="1">
      <alignment/>
      <protection/>
    </xf>
    <xf numFmtId="0" fontId="40" fillId="0" borderId="12" xfId="0" applyFont="1" applyBorder="1" applyAlignment="1" applyProtection="1">
      <alignment/>
      <protection/>
    </xf>
    <xf numFmtId="0" fontId="39" fillId="0" borderId="12" xfId="0" applyFont="1" applyBorder="1" applyAlignment="1">
      <alignment/>
    </xf>
    <xf numFmtId="0" fontId="25" fillId="0" borderId="12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22" fillId="0" borderId="17" xfId="0" applyFont="1" applyBorder="1" applyAlignment="1" applyProtection="1">
      <alignment/>
      <protection/>
    </xf>
    <xf numFmtId="0" fontId="0" fillId="0" borderId="17" xfId="0" applyBorder="1" applyAlignment="1">
      <alignment/>
    </xf>
    <xf numFmtId="0" fontId="17" fillId="35" borderId="11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5" fillId="0" borderId="12" xfId="0" applyFont="1" applyBorder="1" applyAlignment="1" applyProtection="1">
      <alignment/>
      <protection/>
    </xf>
    <xf numFmtId="172" fontId="5" fillId="33" borderId="19" xfId="0" applyNumberFormat="1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28" fillId="0" borderId="12" xfId="0" applyFont="1" applyBorder="1" applyAlignment="1" applyProtection="1">
      <alignment/>
      <protection/>
    </xf>
    <xf numFmtId="0" fontId="28" fillId="0" borderId="13" xfId="0" applyFont="1" applyBorder="1" applyAlignment="1" applyProtection="1">
      <alignment/>
      <protection/>
    </xf>
    <xf numFmtId="0" fontId="28" fillId="0" borderId="12" xfId="0" applyFont="1" applyFill="1" applyBorder="1" applyAlignment="1" applyProtection="1">
      <alignment horizontal="left"/>
      <protection/>
    </xf>
    <xf numFmtId="0" fontId="28" fillId="0" borderId="13" xfId="0" applyFont="1" applyFill="1" applyBorder="1" applyAlignment="1">
      <alignment horizontal="left"/>
    </xf>
    <xf numFmtId="0" fontId="28" fillId="0" borderId="16" xfId="0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22" fillId="0" borderId="12" xfId="0" applyFont="1" applyBorder="1" applyAlignment="1" applyProtection="1">
      <alignment/>
      <protection/>
    </xf>
    <xf numFmtId="0" fontId="22" fillId="0" borderId="21" xfId="0" applyFont="1" applyBorder="1" applyAlignment="1" applyProtection="1">
      <alignment horizontal="left" vertical="center"/>
      <protection/>
    </xf>
    <xf numFmtId="0" fontId="0" fillId="0" borderId="14" xfId="0" applyBorder="1" applyAlignment="1">
      <alignment horizontal="left" vertical="center"/>
    </xf>
    <xf numFmtId="2" fontId="23" fillId="0" borderId="17" xfId="0" applyNumberFormat="1" applyFont="1" applyBorder="1" applyAlignment="1" applyProtection="1">
      <alignment/>
      <protection/>
    </xf>
    <xf numFmtId="0" fontId="22" fillId="0" borderId="16" xfId="0" applyFont="1" applyBorder="1" applyAlignment="1" applyProtection="1">
      <alignment/>
      <protection/>
    </xf>
    <xf numFmtId="0" fontId="22" fillId="0" borderId="14" xfId="0" applyFont="1" applyBorder="1" applyAlignment="1" applyProtection="1">
      <alignment/>
      <protection/>
    </xf>
    <xf numFmtId="0" fontId="2" fillId="40" borderId="11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42" fillId="0" borderId="0" xfId="0" applyFont="1" applyBorder="1" applyAlignment="1" applyProtection="1">
      <alignment horizontal="right"/>
      <protection/>
    </xf>
    <xf numFmtId="0" fontId="42" fillId="0" borderId="0" xfId="0" applyFont="1" applyAlignment="1">
      <alignment horizontal="right"/>
    </xf>
    <xf numFmtId="0" fontId="38" fillId="0" borderId="12" xfId="0" applyFont="1" applyBorder="1" applyAlignment="1" applyProtection="1">
      <alignment/>
      <protection/>
    </xf>
    <xf numFmtId="172" fontId="5" fillId="33" borderId="17" xfId="0" applyNumberFormat="1" applyFont="1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25" fillId="0" borderId="13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5" fillId="0" borderId="20" xfId="0" applyFont="1" applyBorder="1" applyAlignment="1" applyProtection="1">
      <alignment/>
      <protection/>
    </xf>
    <xf numFmtId="0" fontId="6" fillId="41" borderId="19" xfId="0" applyFont="1" applyFill="1" applyBorder="1" applyAlignment="1">
      <alignment horizontal="center"/>
    </xf>
    <xf numFmtId="0" fontId="6" fillId="41" borderId="17" xfId="0" applyFont="1" applyFill="1" applyBorder="1" applyAlignment="1">
      <alignment horizontal="center"/>
    </xf>
    <xf numFmtId="0" fontId="6" fillId="41" borderId="21" xfId="0" applyFont="1" applyFill="1" applyBorder="1" applyAlignment="1">
      <alignment horizontal="center"/>
    </xf>
    <xf numFmtId="49" fontId="6" fillId="41" borderId="22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49" fontId="6" fillId="41" borderId="15" xfId="0" applyNumberFormat="1" applyFont="1" applyFill="1" applyBorder="1" applyAlignment="1" applyProtection="1">
      <alignment horizontal="center"/>
      <protection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28" fillId="0" borderId="12" xfId="0" applyFont="1" applyBorder="1" applyAlignment="1" applyProtection="1">
      <alignment/>
      <protection/>
    </xf>
    <xf numFmtId="2" fontId="23" fillId="0" borderId="12" xfId="0" applyNumberFormat="1" applyFont="1" applyBorder="1" applyAlignment="1" applyProtection="1">
      <alignment/>
      <protection/>
    </xf>
    <xf numFmtId="0" fontId="42" fillId="0" borderId="0" xfId="0" applyFont="1" applyAlignment="1">
      <alignment/>
    </xf>
    <xf numFmtId="0" fontId="85" fillId="0" borderId="12" xfId="0" applyFont="1" applyBorder="1" applyAlignment="1" applyProtection="1">
      <alignment/>
      <protection/>
    </xf>
    <xf numFmtId="0" fontId="85" fillId="0" borderId="13" xfId="0" applyFont="1" applyBorder="1" applyAlignment="1">
      <alignment/>
    </xf>
    <xf numFmtId="0" fontId="36" fillId="0" borderId="16" xfId="0" applyFont="1" applyFill="1" applyBorder="1" applyAlignment="1">
      <alignment horizontal="center"/>
    </xf>
    <xf numFmtId="0" fontId="36" fillId="0" borderId="16" xfId="0" applyFont="1" applyFill="1" applyBorder="1" applyAlignment="1">
      <alignment/>
    </xf>
    <xf numFmtId="0" fontId="9" fillId="0" borderId="11" xfId="0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0" fontId="22" fillId="0" borderId="21" xfId="0" applyFont="1" applyBorder="1" applyAlignment="1" applyProtection="1">
      <alignment/>
      <protection/>
    </xf>
    <xf numFmtId="15" fontId="5" fillId="33" borderId="12" xfId="0" applyNumberFormat="1" applyFont="1" applyFill="1" applyBorder="1" applyAlignment="1" applyProtection="1">
      <alignment horizontal="center"/>
      <protection/>
    </xf>
    <xf numFmtId="0" fontId="32" fillId="0" borderId="1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8"/>
      </font>
      <fill>
        <patternFill>
          <bgColor indexed="51"/>
        </patternFill>
      </fill>
    </dxf>
    <dxf>
      <font>
        <b/>
        <i val="0"/>
        <color indexed="8"/>
      </font>
      <fill>
        <patternFill>
          <bgColor indexed="51"/>
        </patternFill>
      </fill>
    </dxf>
    <dxf>
      <font>
        <b/>
        <i val="0"/>
        <color indexed="8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75"/>
  <sheetViews>
    <sheetView tabSelected="1" zoomScale="130" zoomScaleNormal="130" zoomScalePageLayoutView="0" workbookViewId="0" topLeftCell="A1">
      <selection activeCell="C63" sqref="C63"/>
    </sheetView>
  </sheetViews>
  <sheetFormatPr defaultColWidth="8.8515625" defaultRowHeight="12.75"/>
  <cols>
    <col min="1" max="1" width="22.7109375" style="0" customWidth="1"/>
    <col min="2" max="2" width="7.140625" style="170" customWidth="1"/>
    <col min="3" max="3" width="20.28125" style="0" customWidth="1"/>
    <col min="4" max="4" width="16.7109375" style="0" customWidth="1"/>
    <col min="5" max="5" width="12.8515625" style="0" customWidth="1"/>
    <col min="6" max="6" width="10.140625" style="0" customWidth="1"/>
    <col min="7" max="7" width="4.28125" style="0" customWidth="1"/>
    <col min="8" max="8" width="7.8515625" style="0" customWidth="1"/>
    <col min="9" max="9" width="5.28125" style="0" customWidth="1"/>
    <col min="10" max="10" width="20.421875" style="0" customWidth="1"/>
  </cols>
  <sheetData>
    <row r="1" spans="1:11" ht="15.75">
      <c r="A1" s="230" t="str">
        <f>IF(F1-J1&gt;0,"Royal Manchester Children's Hospital - PICU    (Version 12.0)","** SPREADSHEET EXPIRED   -   Please Reload from www.crashcall.net **")</f>
        <v>Royal Manchester Children's Hospital - PICU    (Version 12.0)</v>
      </c>
      <c r="B1" s="209"/>
      <c r="C1" s="209"/>
      <c r="D1" s="209"/>
      <c r="E1" s="231"/>
      <c r="F1" s="195">
        <v>45688</v>
      </c>
      <c r="G1" s="3"/>
      <c r="H1" s="4" t="s">
        <v>0</v>
      </c>
      <c r="I1" s="5"/>
      <c r="J1" s="6">
        <f ca="1">TODAY()</f>
        <v>45250</v>
      </c>
      <c r="K1" s="3"/>
    </row>
    <row r="2" spans="1:11" ht="15.75">
      <c r="A2" s="7" t="str">
        <f>IF(F1-J1&gt;0,"Patient Name:","")</f>
        <v>Patient Name:</v>
      </c>
      <c r="B2" s="235"/>
      <c r="C2" s="236"/>
      <c r="D2" s="236"/>
      <c r="E2" s="237"/>
      <c r="F2" s="3"/>
      <c r="G2" s="3"/>
      <c r="H2" s="4" t="str">
        <f>IF(F1-J1&gt;0,"Hosp #","")</f>
        <v>Hosp #</v>
      </c>
      <c r="I2" s="5"/>
      <c r="J2" s="1"/>
      <c r="K2" s="3"/>
    </row>
    <row r="3" spans="1:11" ht="15.75">
      <c r="A3" s="7" t="str">
        <f>IF(F1-J1&gt;0,"Estimated weight:","")</f>
        <v>Estimated weight:</v>
      </c>
      <c r="B3" s="202" t="str">
        <f>IF(F1-J1&gt;0,IF((J1-J3)&lt;365,IF(J1-J3&lt;10,3.5,IF(J1-J3&lt;30,4,IF(J1-J3&lt;60,4.5,IF(J1-J3&lt;90,5.5,IF(J1-J3&lt;120,6,IF(J1-J3&lt;180,8,9)))))),IF((J1-J3)/365&lt;16,(((J1-J3)/365)*3)+7,"&gt;&gt;&gt;&gt;&gt;&gt;&gt;")),"")</f>
        <v>&gt;&gt;&gt;&gt;&gt;&gt;&gt;</v>
      </c>
      <c r="C3" s="16" t="str">
        <f>IF(F1-J1&gt;0,IF(J3="","Enter DOB for estimated weight  &gt;&gt;&gt;&gt;&gt;&gt;&gt;&gt;&gt;&gt;&gt;&gt;&gt;&gt;&gt;&gt;&gt;&gt;",IF((J1-J3)/365&gt;16,"* ADULT PATIENT - Weight not estimated *","kg")),"")</f>
        <v>Enter DOB for estimated weight  &gt;&gt;&gt;&gt;&gt;&gt;&gt;&gt;&gt;&gt;&gt;&gt;&gt;&gt;&gt;&gt;&gt;&gt;</v>
      </c>
      <c r="D3" s="10"/>
      <c r="E3" s="11"/>
      <c r="F3" s="3" t="str">
        <f>IF(F1-J1&gt;0,IF(J3="","&gt;&gt;&gt;&gt;&gt;&gt;&gt;&gt;&gt;",""),"")</f>
        <v>&gt;&gt;&gt;&gt;&gt;&gt;&gt;&gt;&gt;</v>
      </c>
      <c r="G3" s="3" t="str">
        <f>IF(F1-J1&gt;0,IF(J3="","&gt;&gt;&gt;",""),"")</f>
        <v>&gt;&gt;&gt;</v>
      </c>
      <c r="H3" s="8" t="str">
        <f>IF(F1-J1&gt;0,"DOB:","")</f>
        <v>DOB:</v>
      </c>
      <c r="I3" s="9"/>
      <c r="J3" s="94"/>
      <c r="K3" s="3"/>
    </row>
    <row r="4" spans="1:11" ht="15.75">
      <c r="A4" s="7" t="str">
        <f>IF(F1-J1&gt;0,"Actual weight:","")</f>
        <v>Actual weight:</v>
      </c>
      <c r="B4" s="201"/>
      <c r="C4" s="16" t="str">
        <f>IF(F1-J1&gt;0,IF(B4="","&lt;&lt;&lt;&lt; Enter actual weight in kg","kg"),"")</f>
        <v>&lt;&lt;&lt;&lt; Enter actual weight in kg</v>
      </c>
      <c r="D4" s="199"/>
      <c r="E4" s="200"/>
      <c r="F4" s="12"/>
      <c r="G4" s="13"/>
      <c r="H4" s="14"/>
      <c r="I4" s="137">
        <f>IF(J3="","",IF((J1-J3)&lt;31,(J1-J3),IF((J1-J3)&lt;122,(J1-J3)/7,IF((J1-J3)&lt;730,(J1-J3)/30,(J1-J3)/365))))</f>
      </c>
      <c r="J4" s="136">
        <f>IF(J3="","",IF((J1-J3)&lt;31,"days",IF((J1-J3)&lt;122,"weeks",IF((J1-J3&lt;730),"months","years"))))</f>
      </c>
      <c r="K4" s="3"/>
    </row>
    <row r="5" spans="1:11" ht="12.75">
      <c r="A5" s="255" t="str">
        <f>IF(B4="",".",IF(B4&lt;1,"*** Spreadsheet not verified for neonates weighing less than 1kg ***",IF(B4&gt;80,"*** Spreadsheet not verified for children weighing greater than 80kg - Consider using lean weight ***","")))</f>
        <v>.</v>
      </c>
      <c r="B5" s="256"/>
      <c r="C5" s="256"/>
      <c r="D5" s="256"/>
      <c r="E5" s="256"/>
      <c r="F5" s="256"/>
      <c r="G5" s="256"/>
      <c r="H5" s="256"/>
      <c r="I5" s="256"/>
      <c r="J5" s="256"/>
      <c r="K5" s="3"/>
    </row>
    <row r="6" spans="1:11" ht="12.75">
      <c r="A6" s="17" t="s">
        <v>76</v>
      </c>
      <c r="B6" s="155"/>
      <c r="C6" s="19" t="s">
        <v>2</v>
      </c>
      <c r="D6" s="19" t="s">
        <v>3</v>
      </c>
      <c r="E6" s="19" t="s">
        <v>4</v>
      </c>
      <c r="F6" s="20" t="s">
        <v>19</v>
      </c>
      <c r="G6" s="19" t="s">
        <v>32</v>
      </c>
      <c r="H6" s="21" t="s">
        <v>19</v>
      </c>
      <c r="I6" s="18"/>
      <c r="J6" s="89" t="s">
        <v>5</v>
      </c>
      <c r="K6" s="81"/>
    </row>
    <row r="7" spans="1:11" ht="12.75">
      <c r="A7" s="28" t="s">
        <v>90</v>
      </c>
      <c r="B7" s="156"/>
      <c r="C7" s="5" t="s">
        <v>26</v>
      </c>
      <c r="D7" s="29" t="s">
        <v>10</v>
      </c>
      <c r="E7" s="5" t="s">
        <v>91</v>
      </c>
      <c r="F7" s="30" t="str">
        <f>IF(B4="","? weight ?",0.05*B4)</f>
        <v>? weight ?</v>
      </c>
      <c r="G7" s="5" t="s">
        <v>4</v>
      </c>
      <c r="H7" s="30">
        <f>IF(B4="","",0.5*B4)</f>
      </c>
      <c r="I7" s="5" t="s">
        <v>6</v>
      </c>
      <c r="J7" s="9" t="s">
        <v>26</v>
      </c>
      <c r="K7" s="3"/>
    </row>
    <row r="8" spans="1:11" ht="12.75">
      <c r="A8" s="28" t="s">
        <v>98</v>
      </c>
      <c r="B8" s="156"/>
      <c r="C8" s="5" t="str">
        <f>IF(0.02*B4&lt;=0.6,"20microg/kg","0.6mg")</f>
        <v>20microg/kg</v>
      </c>
      <c r="D8" s="29" t="s">
        <v>10</v>
      </c>
      <c r="E8" s="5" t="str">
        <f>IF(0.02*B4&lt;=0.6,"0.2ml/kg","6ml")</f>
        <v>0.2ml/kg</v>
      </c>
      <c r="F8" s="30" t="str">
        <f>IF(B4="","? weight ?",IF((20/100)*B4&gt;6,6,(20/100)*B4))</f>
        <v>? weight ?</v>
      </c>
      <c r="G8" s="5" t="s">
        <v>4</v>
      </c>
      <c r="H8" s="30">
        <f>IF(B4="","",IF(0.02*B4&gt;0.6,0.6,0.02*B4))</f>
      </c>
      <c r="I8" s="5" t="s">
        <v>6</v>
      </c>
      <c r="J8" s="9" t="str">
        <f>IF(B4*0.02&lt;=0.6,"20 microg/kg","0.6mg")</f>
        <v>20 microg/kg</v>
      </c>
      <c r="K8" s="3"/>
    </row>
    <row r="9" spans="1:11" ht="12.75">
      <c r="A9" s="23" t="s">
        <v>100</v>
      </c>
      <c r="B9" s="157"/>
      <c r="C9" s="67" t="s">
        <v>102</v>
      </c>
      <c r="D9" s="25" t="s">
        <v>10</v>
      </c>
      <c r="E9" s="24" t="s">
        <v>103</v>
      </c>
      <c r="F9" s="26" t="str">
        <f>IF(B4="","? weight ?",0.04*B4)</f>
        <v>? weight ?</v>
      </c>
      <c r="G9" s="24" t="s">
        <v>4</v>
      </c>
      <c r="H9" s="26">
        <f>IF(B4="","",F9*50)</f>
      </c>
      <c r="I9" s="25" t="s">
        <v>101</v>
      </c>
      <c r="J9" s="123" t="s">
        <v>104</v>
      </c>
      <c r="K9" s="3"/>
    </row>
    <row r="10" spans="1:11" ht="12.75">
      <c r="A10" s="28" t="s">
        <v>92</v>
      </c>
      <c r="B10" s="156"/>
      <c r="C10" s="5" t="s">
        <v>23</v>
      </c>
      <c r="D10" s="29" t="s">
        <v>10</v>
      </c>
      <c r="E10" s="5" t="s">
        <v>93</v>
      </c>
      <c r="F10" s="30" t="str">
        <f>IF(B4="","? weight ?",0.04*B4)</f>
        <v>? weight ?</v>
      </c>
      <c r="G10" s="5" t="s">
        <v>4</v>
      </c>
      <c r="H10" s="30">
        <f>IF(B4="","",2*B4)</f>
      </c>
      <c r="I10" s="5" t="s">
        <v>6</v>
      </c>
      <c r="J10" s="9" t="s">
        <v>7</v>
      </c>
      <c r="K10" s="3"/>
    </row>
    <row r="11" spans="1:11" ht="12.75">
      <c r="A11" s="23" t="s">
        <v>94</v>
      </c>
      <c r="B11" s="157"/>
      <c r="C11" s="67" t="s">
        <v>45</v>
      </c>
      <c r="D11" s="25" t="s">
        <v>10</v>
      </c>
      <c r="E11" s="24" t="s">
        <v>95</v>
      </c>
      <c r="F11" s="26" t="str">
        <f>IF(B4="","? weight ?",IF(B4&gt;50,2.5,0.05*B4))</f>
        <v>? weight ?</v>
      </c>
      <c r="G11" s="24" t="s">
        <v>4</v>
      </c>
      <c r="H11" s="26">
        <f>IF(B4="","",IF(B4&gt;50,5,0.1*B4))</f>
      </c>
      <c r="I11" s="24" t="s">
        <v>6</v>
      </c>
      <c r="J11" s="123" t="str">
        <f>IF(B4&gt;50,"Limited to 5mg","100 microg/kg")</f>
        <v>100 microg/kg</v>
      </c>
      <c r="K11" s="3"/>
    </row>
    <row r="12" spans="1:11" ht="12.75">
      <c r="A12" s="28" t="s">
        <v>96</v>
      </c>
      <c r="B12" s="156"/>
      <c r="C12" s="5" t="str">
        <f>IF(B4&gt;100,"100mg",IF((J1-J3)/365&lt;12,"2mg/kg","1mg/kg"))</f>
        <v>1mg/kg</v>
      </c>
      <c r="D12" s="29" t="s">
        <v>10</v>
      </c>
      <c r="E12" s="5" t="str">
        <f>IF(B4&gt;100,"2ml",IF((J1-J3)/365&lt;12,"0.04 ml/kg","0.02ml/kg"))</f>
        <v>0.02ml/kg</v>
      </c>
      <c r="F12" s="41" t="str">
        <f>IF(B4="","? weight ?",IF(J3="","? dob ?",IF(B4&gt;100,2,IF((J1-J3)/365&lt;12,0.04*B4,0.02*B4))))</f>
        <v>? weight ?</v>
      </c>
      <c r="G12" s="5" t="s">
        <v>4</v>
      </c>
      <c r="H12" s="30">
        <f>IF(B4="","",IF(J3="","",IF(B4&gt;100,100,IF((J1-J3)/365&lt;12,2*B4,B4))))</f>
      </c>
      <c r="I12" s="5" t="s">
        <v>6</v>
      </c>
      <c r="J12" s="9" t="str">
        <f>IF(B4&gt;100,"100 mg",IF((J1-J3)/365&lt;12,"2 mg/kg","1 mg/kg"))</f>
        <v>1 mg/kg</v>
      </c>
      <c r="K12" s="3"/>
    </row>
    <row r="13" spans="1:11" ht="12.75">
      <c r="A13" s="28" t="s">
        <v>97</v>
      </c>
      <c r="B13" s="156"/>
      <c r="C13" s="5" t="str">
        <f>IF(J1-J3&lt;28,"",IF(B4&lt;100,"3-5mg/kg","500mg"))</f>
        <v>3-5mg/kg</v>
      </c>
      <c r="D13" s="29" t="str">
        <f>IF(J1-J3&lt;28," ","20ml WFI")</f>
        <v>20ml WFI</v>
      </c>
      <c r="E13" s="5" t="str">
        <f>IF(J1-J3&lt;28," ",IF(B4&lt;100,"0.12-0.2ml/kg","20ml"))</f>
        <v>0.12-0.2ml/kg</v>
      </c>
      <c r="F13" s="41" t="str">
        <f>IF(B4="","? weight ?",IF(J3="","? dob ?",IF(J1-J3&lt;28," ",IF(B4&lt;100,0.2*B4,20))))</f>
        <v>? weight ?</v>
      </c>
      <c r="G13" s="5" t="str">
        <f>IF(J1-J3&lt;28," ","ml")</f>
        <v>ml</v>
      </c>
      <c r="H13" s="30">
        <f>IF(B4="","",IF(J3="","",IF(J1-J3&lt;28," ",IF(B4&lt;100,5*B4,500))))</f>
      </c>
      <c r="I13" s="5" t="str">
        <f>IF(J1-J3&lt;28," ","mg")</f>
        <v>mg</v>
      </c>
      <c r="J13" s="9" t="str">
        <f>IF(J1-J3&lt;28,"*Not Recommended*",IF(B4&lt;100,"5 mg/kg"," "))</f>
        <v>5 mg/kg</v>
      </c>
      <c r="K13" s="3"/>
    </row>
    <row r="14" spans="1:11" ht="12.75">
      <c r="A14" s="28" t="str">
        <f>IF(F1-J1&gt;0,"Rocuronium (10mg/ml)","")</f>
        <v>Rocuronium (10mg/ml)</v>
      </c>
      <c r="B14" s="156"/>
      <c r="C14" s="5" t="s">
        <v>74</v>
      </c>
      <c r="D14" s="29" t="s">
        <v>10</v>
      </c>
      <c r="E14" s="5" t="s">
        <v>8</v>
      </c>
      <c r="F14" s="30" t="str">
        <f>IF(B4="","? weight ?",B4*0.1)</f>
        <v>? weight ?</v>
      </c>
      <c r="G14" s="5" t="s">
        <v>4</v>
      </c>
      <c r="H14" s="30">
        <f>IF(B4="","",B4)</f>
      </c>
      <c r="I14" s="5" t="s">
        <v>6</v>
      </c>
      <c r="J14" s="9" t="str">
        <f>IF(B4&gt;100,"Limited to 10mg","1 mg/kg")</f>
        <v>1 mg/kg</v>
      </c>
      <c r="K14" s="3"/>
    </row>
    <row r="15" spans="1:11" ht="12.75">
      <c r="A15" s="33" t="s">
        <v>77</v>
      </c>
      <c r="B15" s="159"/>
      <c r="C15" s="19" t="s">
        <v>2</v>
      </c>
      <c r="D15" s="19" t="s">
        <v>3</v>
      </c>
      <c r="E15" s="19" t="s">
        <v>4</v>
      </c>
      <c r="F15" s="20" t="s">
        <v>19</v>
      </c>
      <c r="G15" s="19" t="s">
        <v>32</v>
      </c>
      <c r="H15" s="21" t="s">
        <v>19</v>
      </c>
      <c r="I15" s="19"/>
      <c r="J15" s="22" t="s">
        <v>5</v>
      </c>
      <c r="K15" s="81"/>
    </row>
    <row r="16" spans="1:11" s="80" customFormat="1" ht="12.75">
      <c r="A16" s="82" t="str">
        <f>IF(F1-J1&gt;0,"Adenosine 6mg/2ml","")</f>
        <v>Adenosine 6mg/2ml</v>
      </c>
      <c r="B16" s="51"/>
      <c r="C16" s="124" t="str">
        <f>IF(B4&lt;30,"100 microg/kg","3mg")</f>
        <v>100 microg/kg</v>
      </c>
      <c r="D16" s="78" t="str">
        <f>IF(B4&lt;30,"6mg+10ml NS, 0.5mg/ml","none")</f>
        <v>6mg+10ml NS, 0.5mg/ml</v>
      </c>
      <c r="E16" s="77" t="str">
        <f>IF(B4&lt;30,"0.2ml/kg","1ml")</f>
        <v>0.2ml/kg</v>
      </c>
      <c r="F16" s="79" t="str">
        <f>IF(B4="","? weight ?",IF(B4&lt;30,0.2*B4,1))</f>
        <v>? weight ?</v>
      </c>
      <c r="G16" s="77" t="s">
        <v>4</v>
      </c>
      <c r="H16" s="79">
        <f>IF(B4="","",IF(B4&lt;30,0.1*B4,3))</f>
      </c>
      <c r="I16" s="77" t="s">
        <v>6</v>
      </c>
      <c r="J16" s="171" t="str">
        <f>IF(B4&lt;30,"* NOTE DILUTION *","Limited to 3mg")</f>
        <v>* NOTE DILUTION *</v>
      </c>
      <c r="K16" s="90"/>
    </row>
    <row r="17" spans="1:11" ht="12.75">
      <c r="A17" s="34" t="str">
        <f>IF(F1-J1&gt;0,"Adrenaline 1:10,000","")</f>
        <v>Adrenaline 1:10,000</v>
      </c>
      <c r="B17" s="160"/>
      <c r="C17" s="35" t="s">
        <v>46</v>
      </c>
      <c r="D17" s="36" t="s">
        <v>10</v>
      </c>
      <c r="E17" s="35" t="s">
        <v>8</v>
      </c>
      <c r="F17" s="37" t="str">
        <f>IF(B4="","? weight ?",0.1*B4)</f>
        <v>? weight ?</v>
      </c>
      <c r="G17" s="35" t="s">
        <v>4</v>
      </c>
      <c r="H17" s="37">
        <f>IF(B4="","",0.01*B4)</f>
      </c>
      <c r="I17" s="35" t="s">
        <v>6</v>
      </c>
      <c r="J17" s="27"/>
      <c r="K17" s="3"/>
    </row>
    <row r="18" spans="1:11" ht="12.75">
      <c r="A18" s="38" t="str">
        <f>IF(F1-J1&gt;0,"Amiodarone 300mg/10ml","")</f>
        <v>Amiodarone 300mg/10ml</v>
      </c>
      <c r="B18" s="161"/>
      <c r="C18" s="39" t="str">
        <f>IF(B4&lt;60,"5mg/kg","300mg")</f>
        <v>5mg/kg</v>
      </c>
      <c r="D18" s="40" t="s">
        <v>10</v>
      </c>
      <c r="E18" s="39" t="s">
        <v>57</v>
      </c>
      <c r="F18" s="153" t="str">
        <f>IF(B4="","? weight ?",IF(B4&lt;60,5/30*B4,"10"))</f>
        <v>? weight ?</v>
      </c>
      <c r="G18" s="39" t="s">
        <v>4</v>
      </c>
      <c r="H18" s="153">
        <f>IF(B4="","",IF(B4&lt;60,5*B4,"300"))</f>
      </c>
      <c r="I18" s="39" t="s">
        <v>6</v>
      </c>
      <c r="J18" s="9"/>
      <c r="K18" s="3"/>
    </row>
    <row r="19" spans="1:11" ht="12.75">
      <c r="A19" s="28" t="str">
        <f>IF(F1-J1&gt;0,"Calcium Gluconate 10%","")</f>
        <v>Calcium Gluconate 10%</v>
      </c>
      <c r="B19" s="156"/>
      <c r="C19" s="5" t="s">
        <v>11</v>
      </c>
      <c r="D19" s="29" t="s">
        <v>29</v>
      </c>
      <c r="E19" s="5" t="s">
        <v>12</v>
      </c>
      <c r="F19" s="30" t="str">
        <f>IF(B4="","? weight ?",IF(B4&gt;40,20,0.5*B4))</f>
        <v>? weight ?</v>
      </c>
      <c r="G19" s="5" t="s">
        <v>4</v>
      </c>
      <c r="H19" s="30">
        <f>IF(B4="","",0.22*F19)</f>
      </c>
      <c r="I19" s="5" t="s">
        <v>13</v>
      </c>
      <c r="J19" s="9">
        <f>IF(B4&gt;40,"Limited to 4.4 mmol","")</f>
      </c>
      <c r="K19" s="3"/>
    </row>
    <row r="20" spans="1:11" ht="12.75">
      <c r="A20" s="28" t="str">
        <f>IF(F1-J1&gt;0,"Calcium Chloride 14.7%","")</f>
        <v>Calcium Chloride 14.7%</v>
      </c>
      <c r="B20" s="156"/>
      <c r="C20" s="5" t="str">
        <f>IF((J1-J3)&lt;29,"","0.14 mmol/kg")</f>
        <v>0.14 mmol/kg</v>
      </c>
      <c r="D20" s="29" t="str">
        <f>IF((J1-J3)&lt;29,"","none (1mmol/ml)")</f>
        <v>none (1mmol/ml)</v>
      </c>
      <c r="E20" s="5" t="str">
        <f>IF((J1-J3)&lt;29,"","0.14ml/kg")</f>
        <v>0.14ml/kg</v>
      </c>
      <c r="F20" s="30" t="str">
        <f>IF(B4="","? weight ?",IF((J1-J3)&lt;29,"",IF(B4&gt;50,7,0.14*B4)))</f>
        <v>? weight ?</v>
      </c>
      <c r="G20" s="5" t="s">
        <v>4</v>
      </c>
      <c r="H20" s="30">
        <f>IF(B4="","",F20)</f>
      </c>
      <c r="I20" s="5" t="str">
        <f>IF((J1-J3)&lt;29,"","mmol")</f>
        <v>mmol</v>
      </c>
      <c r="J20" s="9">
        <f>IF((J1-J3)&lt;29,"*Not Recommended*",IF(B4&gt;50,"Limited to 7.0 mmol",""))</f>
      </c>
      <c r="K20" s="3"/>
    </row>
    <row r="21" spans="1:11" ht="12.75">
      <c r="A21" s="28" t="str">
        <f>IF(F1-J1&gt;0,"Dextrose 10%","")</f>
        <v>Dextrose 10%</v>
      </c>
      <c r="B21" s="156"/>
      <c r="C21" s="5" t="s">
        <v>79</v>
      </c>
      <c r="D21" s="29" t="s">
        <v>10</v>
      </c>
      <c r="E21" s="5" t="s">
        <v>99</v>
      </c>
      <c r="F21" s="42" t="str">
        <f>IF(B4="","? weight ?",B4*2)</f>
        <v>? weight ?</v>
      </c>
      <c r="G21" s="5" t="s">
        <v>4</v>
      </c>
      <c r="H21" s="43">
        <f>IF(B4="","",200*B4)</f>
      </c>
      <c r="I21" s="5" t="s">
        <v>6</v>
      </c>
      <c r="J21" s="187" t="s">
        <v>80</v>
      </c>
      <c r="K21" s="3"/>
    </row>
    <row r="22" spans="1:11" ht="12.75">
      <c r="A22" s="28" t="str">
        <f>IF(F1-J1&gt;0,"Diazemuls 10mg/2ml","")</f>
        <v>Diazemuls 10mg/2ml</v>
      </c>
      <c r="B22" s="156"/>
      <c r="C22" s="5" t="str">
        <f>IF(B4*0.2&lt;=20,"0.2-0.4mg/kg","20mg")</f>
        <v>0.2-0.4mg/kg</v>
      </c>
      <c r="D22" s="29" t="s">
        <v>10</v>
      </c>
      <c r="E22" s="5" t="str">
        <f>IF(0.2*B4&lt;=20,"0.04-0.08ml/kg","4ml")</f>
        <v>0.04-0.08ml/kg</v>
      </c>
      <c r="F22" s="30" t="str">
        <f>IF(B4="","? weight ?",IF(0.2*B4&lt;=20,0.04*B4,4))</f>
        <v>? weight ?</v>
      </c>
      <c r="G22" s="5" t="s">
        <v>4</v>
      </c>
      <c r="H22" s="44">
        <f>IF(B4="","",IF(0.2*B4&lt;=20,0.2*B4,20))</f>
      </c>
      <c r="I22" s="5" t="s">
        <v>6</v>
      </c>
      <c r="J22" s="9" t="str">
        <f>IF(B4*0.2&lt;=20,"0.2 mg/kg"," ")</f>
        <v>0.2 mg/kg</v>
      </c>
      <c r="K22" s="3"/>
    </row>
    <row r="23" spans="1:11" ht="12.75">
      <c r="A23" s="28" t="str">
        <f>IF(F1-J1&gt;0,"Lorazepam 4mg/ml","")</f>
        <v>Lorazepam 4mg/ml</v>
      </c>
      <c r="B23" s="156"/>
      <c r="C23" s="5" t="str">
        <f>IF(B4*0.1&lt;=4,"100mcg/kg","4mg")</f>
        <v>100mcg/kg</v>
      </c>
      <c r="D23" s="29" t="s">
        <v>10</v>
      </c>
      <c r="E23" s="5" t="str">
        <f>IF(B4*0.1&lt;=4,"0.025ml/kg","1ml")</f>
        <v>0.025ml/kg</v>
      </c>
      <c r="F23" s="41" t="str">
        <f>IF(B4="","? weight ?",IF(B4*0.1&lt;=4,B4*0.025,1))</f>
        <v>? weight ?</v>
      </c>
      <c r="G23" s="5" t="s">
        <v>4</v>
      </c>
      <c r="H23" s="41">
        <f>IF(B4="","",IF(B4*0.1&lt;=4,B4*0.1,4))</f>
      </c>
      <c r="I23" s="5" t="s">
        <v>6</v>
      </c>
      <c r="J23" s="9"/>
      <c r="K23" s="3"/>
    </row>
    <row r="24" spans="1:11" ht="12.75">
      <c r="A24" s="176" t="str">
        <f>IF(F1-J1&gt;0,"Magnesium Sulphate 50%","")</f>
        <v>Magnesium Sulphate 50%</v>
      </c>
      <c r="B24" s="177" t="s">
        <v>65</v>
      </c>
      <c r="C24" s="5" t="s">
        <v>14</v>
      </c>
      <c r="D24" s="29" t="s">
        <v>30</v>
      </c>
      <c r="E24" s="5" t="s">
        <v>9</v>
      </c>
      <c r="F24" s="41" t="str">
        <f>IF(B4="","? weight ?",IF((B4*0.2)&lt;=10,(B4*0.2),"10"))</f>
        <v>? weight ?</v>
      </c>
      <c r="G24" s="5" t="s">
        <v>4</v>
      </c>
      <c r="H24" s="30">
        <f>IF(B4="","",F24*2)</f>
      </c>
      <c r="I24" s="5" t="s">
        <v>13</v>
      </c>
      <c r="J24" s="179" t="s">
        <v>65</v>
      </c>
      <c r="K24" s="3"/>
    </row>
    <row r="25" spans="1:11" ht="12.75">
      <c r="A25" s="23"/>
      <c r="B25" s="178" t="s">
        <v>64</v>
      </c>
      <c r="C25" s="67" t="s">
        <v>68</v>
      </c>
      <c r="D25" s="25" t="s">
        <v>66</v>
      </c>
      <c r="E25" s="67" t="s">
        <v>69</v>
      </c>
      <c r="F25" s="41" t="str">
        <f>IF(B4="","? weight ?",IF(B4&gt;=50,2,B4*0.08))</f>
        <v>? weight ?</v>
      </c>
      <c r="G25" s="24" t="s">
        <v>4</v>
      </c>
      <c r="H25" s="30">
        <f>IF(B4="","",IF(B4&gt;=50,2000,F25*500))</f>
      </c>
      <c r="I25" s="24" t="s">
        <v>6</v>
      </c>
      <c r="J25" s="203" t="str">
        <f>IF(B4&gt;=50,"Limted to 2g","Asthma")</f>
        <v>Asthma</v>
      </c>
      <c r="K25" s="3"/>
    </row>
    <row r="26" spans="1:11" ht="12.75">
      <c r="A26" s="257" t="str">
        <f>IF(F1-J1&gt;0,"Mannitol 20% (20g/100ml)","")</f>
        <v>Mannitol 20% (20g/100ml)</v>
      </c>
      <c r="B26" s="213"/>
      <c r="C26" s="66" t="s">
        <v>70</v>
      </c>
      <c r="D26" s="87" t="s">
        <v>10</v>
      </c>
      <c r="E26" s="5" t="s">
        <v>35</v>
      </c>
      <c r="F26" s="44" t="str">
        <f>IF(B4="","? weight ?",B4/0.4)</f>
        <v>? weight ?</v>
      </c>
      <c r="G26" s="5" t="s">
        <v>4</v>
      </c>
      <c r="H26" s="44">
        <f>IF(B4="","",0.5*B4)</f>
      </c>
      <c r="I26" s="86" t="s">
        <v>20</v>
      </c>
      <c r="J26" s="9" t="s">
        <v>61</v>
      </c>
      <c r="K26" s="3"/>
    </row>
    <row r="27" spans="1:11" ht="12.75">
      <c r="A27" s="28" t="str">
        <f>IF(F1-J1&gt;0,"Potassium Choride 15%","")</f>
        <v>Potassium Choride 15%</v>
      </c>
      <c r="B27" s="166" t="s">
        <v>53</v>
      </c>
      <c r="C27" s="5" t="s">
        <v>14</v>
      </c>
      <c r="D27" s="185" t="s">
        <v>72</v>
      </c>
      <c r="E27" s="5" t="s">
        <v>71</v>
      </c>
      <c r="F27" s="30" t="str">
        <f>IF(B4="","? weight ?",0.8*B4)</f>
        <v>? weight ?</v>
      </c>
      <c r="G27" s="5" t="s">
        <v>4</v>
      </c>
      <c r="H27" s="30">
        <f>IF(B4="","",0.4*B4)</f>
      </c>
      <c r="I27" s="5" t="s">
        <v>13</v>
      </c>
      <c r="J27" s="171" t="s">
        <v>31</v>
      </c>
      <c r="K27" s="3"/>
    </row>
    <row r="28" spans="1:11" ht="12.75">
      <c r="A28" s="28" t="str">
        <f>IF(F1-J1&gt;0,"Sodium Bicarbonate 8.4%","")</f>
        <v>Sodium Bicarbonate 8.4%</v>
      </c>
      <c r="B28" s="156"/>
      <c r="C28" s="5" t="s">
        <v>42</v>
      </c>
      <c r="D28" s="29" t="s">
        <v>10</v>
      </c>
      <c r="E28" s="5" t="s">
        <v>43</v>
      </c>
      <c r="F28" s="30" t="str">
        <f>IF(B4="","? weight ?",B4)</f>
        <v>? weight ?</v>
      </c>
      <c r="G28" s="5" t="s">
        <v>4</v>
      </c>
      <c r="H28" s="30">
        <f>IF(B4="","",B4)</f>
      </c>
      <c r="I28" s="5" t="s">
        <v>13</v>
      </c>
      <c r="J28" s="9" t="s">
        <v>62</v>
      </c>
      <c r="K28" s="3"/>
    </row>
    <row r="29" spans="1:11" ht="12.75">
      <c r="A29" s="31"/>
      <c r="B29" s="156"/>
      <c r="C29" s="45"/>
      <c r="D29" s="68"/>
      <c r="E29" s="45"/>
      <c r="F29" s="46"/>
      <c r="G29" s="45"/>
      <c r="H29" s="46"/>
      <c r="I29" s="15"/>
      <c r="J29" s="15"/>
      <c r="K29" s="3"/>
    </row>
    <row r="30" spans="1:11" ht="12.75">
      <c r="A30" s="33" t="str">
        <f>IF(F1-J1&gt;0,"Fluids - Bolus","")</f>
        <v>Fluids - Bolus</v>
      </c>
      <c r="B30" s="155"/>
      <c r="C30" s="47">
        <f>IF(B2="n",B3*40,"")</f>
      </c>
      <c r="D30" s="212" t="str">
        <f>IF(F1-J1&gt;0,"Fluids - Maintenance","")</f>
        <v>Fluids - Maintenance</v>
      </c>
      <c r="E30" s="213"/>
      <c r="F30" s="213"/>
      <c r="G30" s="213"/>
      <c r="H30" s="213"/>
      <c r="I30" s="213"/>
      <c r="J30" s="214"/>
      <c r="K30" s="81"/>
    </row>
    <row r="31" spans="1:11" ht="12.75">
      <c r="A31" s="48" t="str">
        <f>IF(F1-J1&gt;0,"Bolus 10ml/kg","")</f>
        <v>Bolus 10ml/kg</v>
      </c>
      <c r="B31" s="162"/>
      <c r="C31" s="3"/>
      <c r="D31" s="49" t="str">
        <f>IF(F1-J1&gt;0,"100%","")</f>
        <v>100%</v>
      </c>
      <c r="E31" s="133" t="str">
        <f>IF(B4="","? weight ?",IF(E34&lt;3000,E34,3000))</f>
        <v>? weight ?</v>
      </c>
      <c r="F31" s="29" t="s">
        <v>25</v>
      </c>
      <c r="G31" s="51" t="s">
        <v>24</v>
      </c>
      <c r="H31" s="43">
        <f>IF(B4="","",E31/24)</f>
      </c>
      <c r="I31" s="213" t="s">
        <v>15</v>
      </c>
      <c r="J31" s="214"/>
      <c r="K31" s="3"/>
    </row>
    <row r="32" spans="1:11" ht="12.75">
      <c r="A32" s="146">
        <f>IF(B4="","",10*B4)</f>
      </c>
      <c r="B32" s="163" t="s">
        <v>4</v>
      </c>
      <c r="C32" s="3"/>
      <c r="D32" s="52" t="str">
        <f>IF(F1-J1&gt;0,"70%","")</f>
        <v>70%</v>
      </c>
      <c r="E32" s="50">
        <f>IF(B4="","",0.7*E31)</f>
      </c>
      <c r="F32" s="29" t="s">
        <v>25</v>
      </c>
      <c r="G32" s="51" t="s">
        <v>24</v>
      </c>
      <c r="H32" s="43">
        <f>IF(B4="","",E32/24)</f>
      </c>
      <c r="I32" s="213" t="s">
        <v>15</v>
      </c>
      <c r="J32" s="214"/>
      <c r="K32" s="3"/>
    </row>
    <row r="33" spans="1:11" ht="12.75">
      <c r="A33" s="53" t="s">
        <v>36</v>
      </c>
      <c r="B33" s="164" t="str">
        <f>IF(B4="","??????",B4)</f>
        <v>??????</v>
      </c>
      <c r="C33" s="3" t="s">
        <v>18</v>
      </c>
      <c r="D33" s="49" t="str">
        <f>IF(F1-J1&gt;0,"50%","")</f>
        <v>50%</v>
      </c>
      <c r="E33" s="50">
        <f>IF(B4="","",0.5*E31)</f>
      </c>
      <c r="F33" s="29" t="s">
        <v>25</v>
      </c>
      <c r="G33" s="51" t="s">
        <v>24</v>
      </c>
      <c r="H33" s="43">
        <f>IF(B4="","",E33/24)</f>
      </c>
      <c r="I33" s="213" t="s">
        <v>15</v>
      </c>
      <c r="J33" s="214"/>
      <c r="K33" s="3"/>
    </row>
    <row r="34" spans="1:11" ht="12.75">
      <c r="A34" s="32"/>
      <c r="B34" s="158"/>
      <c r="C34" s="54"/>
      <c r="D34" s="32"/>
      <c r="E34" s="122">
        <f>IF((J1-J3)&lt;28,IF((J1-J3)&lt;2,(B4*60),IF((J1-J3)&lt;3,B4*90,IF((J1-J3)&lt;4,B4*120,B4*150))),IF(B4&lt;=10,B4*100,IF(B4&lt;=20,1000+((B4-10)*50),1500+((B4-20)*20))))</f>
        <v>0</v>
      </c>
      <c r="F34" s="54"/>
      <c r="G34" s="15"/>
      <c r="H34" s="15"/>
      <c r="I34" s="3"/>
      <c r="J34" s="132" t="s">
        <v>52</v>
      </c>
      <c r="K34" s="3"/>
    </row>
    <row r="35" spans="1:11" ht="12.75">
      <c r="A35" s="15"/>
      <c r="B35" s="56"/>
      <c r="C35" s="55"/>
      <c r="D35" s="232" t="s">
        <v>105</v>
      </c>
      <c r="E35" s="233"/>
      <c r="F35" s="233"/>
      <c r="G35" s="233"/>
      <c r="H35" s="233"/>
      <c r="I35" s="233"/>
      <c r="J35" s="233"/>
      <c r="K35" s="3"/>
    </row>
    <row r="36" spans="1:11" ht="15.75">
      <c r="A36" s="230" t="str">
        <f>IF(F1-J1&gt;0,"Royal Manchester Children's Hospital - PICU","        *** SPREADSHEET EXPIRED ***")</f>
        <v>Royal Manchester Children's Hospital - PICU</v>
      </c>
      <c r="B36" s="213"/>
      <c r="C36" s="214"/>
      <c r="D36" s="57" t="s">
        <v>22</v>
      </c>
      <c r="E36" s="196" t="str">
        <f>IF(J2="","???",J2)</f>
        <v>???</v>
      </c>
      <c r="F36" s="3"/>
      <c r="G36" s="3"/>
      <c r="H36" s="4" t="s">
        <v>0</v>
      </c>
      <c r="I36" s="260">
        <f ca="1">TODAY()</f>
        <v>45250</v>
      </c>
      <c r="J36" s="261"/>
      <c r="K36" s="91"/>
    </row>
    <row r="37" spans="1:11" ht="15.75">
      <c r="A37" s="216" t="str">
        <f>IF(B2="","???",B2)</f>
        <v>???</v>
      </c>
      <c r="B37" s="217"/>
      <c r="C37" s="217"/>
      <c r="D37" s="58" t="s">
        <v>1</v>
      </c>
      <c r="E37" s="59" t="str">
        <f>IF(J3="","???",J3)</f>
        <v>???</v>
      </c>
      <c r="F37" s="3"/>
      <c r="G37" s="3"/>
      <c r="H37" s="60" t="s">
        <v>17</v>
      </c>
      <c r="I37" s="148" t="str">
        <f>IF(B4="","???",B4)</f>
        <v>???</v>
      </c>
      <c r="J37" s="138">
        <f>IF(B4="","","kg")</f>
      </c>
      <c r="K37" s="91"/>
    </row>
    <row r="38" spans="1:11" ht="6.75" customHeight="1">
      <c r="A38" s="61"/>
      <c r="B38" s="165"/>
      <c r="C38" s="62"/>
      <c r="D38" s="58"/>
      <c r="E38" s="63"/>
      <c r="F38" s="3"/>
      <c r="G38" s="3"/>
      <c r="H38" s="64"/>
      <c r="I38" s="147"/>
      <c r="J38" s="65"/>
      <c r="K38" s="91"/>
    </row>
    <row r="39" spans="1:11" ht="12.75">
      <c r="A39" s="33" t="s">
        <v>78</v>
      </c>
      <c r="B39" s="155"/>
      <c r="C39" s="19" t="s">
        <v>2</v>
      </c>
      <c r="D39" s="21" t="s">
        <v>33</v>
      </c>
      <c r="E39" s="83"/>
      <c r="F39" s="84"/>
      <c r="G39" s="85"/>
      <c r="H39" s="21"/>
      <c r="I39" s="18"/>
      <c r="J39" s="89"/>
      <c r="K39" s="81"/>
    </row>
    <row r="40" spans="1:11" ht="12.75">
      <c r="A40" s="107" t="str">
        <f>IF(F1-J1&gt;0,"Adrenaline/Noradrenaline","")</f>
        <v>Adrenaline/Noradrenaline</v>
      </c>
      <c r="B40" s="166" t="s">
        <v>53</v>
      </c>
      <c r="C40" s="126" t="s">
        <v>50</v>
      </c>
      <c r="D40" s="131" t="str">
        <f>IF(B4="","? weight ?",0.3*B4)</f>
        <v>? weight ?</v>
      </c>
      <c r="E40" s="222" t="s">
        <v>83</v>
      </c>
      <c r="F40" s="223"/>
      <c r="G40" s="223"/>
      <c r="H40" s="223"/>
      <c r="I40" s="218" t="s">
        <v>47</v>
      </c>
      <c r="J40" s="219"/>
      <c r="K40" s="92"/>
    </row>
    <row r="41" spans="1:11" ht="12.75">
      <c r="A41" s="107" t="str">
        <f>IF(F1-J1&gt;0,"Amiodarone","")</f>
        <v>Amiodarone</v>
      </c>
      <c r="B41" s="166">
        <f>IF(B4="","",IF(D41&lt;100,"","n"))</f>
      </c>
      <c r="C41" s="126" t="str">
        <f>IF((J1-J3)&gt;28,"5-15 microgram/kg/min","")</f>
        <v>5-15 microgram/kg/min</v>
      </c>
      <c r="D41" s="149" t="str">
        <f>IF((J1-J3)&gt;28,IF(B4="","? weight ?",IF(B4&lt;1,"",15*B4)),"")</f>
        <v>? weight ?</v>
      </c>
      <c r="E41" s="250" t="str">
        <f>IF((J1-J3)&gt;28,"mg made up to 50ml with D5W","")</f>
        <v>mg made up to 50ml with D5W</v>
      </c>
      <c r="F41" s="209"/>
      <c r="G41" s="209"/>
      <c r="H41" s="209"/>
      <c r="I41" s="220" t="str">
        <f>IF((J1-J3)&gt;28,IF(B4&lt;1,"* See BNFc *","1ml/h = 5 microg/kg/min"),"* See BNFc *")</f>
        <v>* See BNFc *</v>
      </c>
      <c r="J41" s="221"/>
      <c r="K41" s="92"/>
    </row>
    <row r="42" spans="1:11" ht="12.75">
      <c r="A42" s="107" t="str">
        <f>IF(F1-J1&gt;0,"Dopamine/Dobutamine","")</f>
        <v>Dopamine/Dobutamine</v>
      </c>
      <c r="B42" s="166" t="s">
        <v>53</v>
      </c>
      <c r="C42" s="126" t="s">
        <v>49</v>
      </c>
      <c r="D42" s="149" t="str">
        <f>IF(B4="","? weight ?",15*B4)</f>
        <v>? weight ?</v>
      </c>
      <c r="E42" s="218" t="s">
        <v>83</v>
      </c>
      <c r="F42" s="209"/>
      <c r="G42" s="209"/>
      <c r="H42" s="209"/>
      <c r="I42" s="129" t="s">
        <v>60</v>
      </c>
      <c r="J42" s="130"/>
      <c r="K42" s="92"/>
    </row>
    <row r="43" spans="1:11" ht="12.75">
      <c r="A43" s="111" t="str">
        <f>IF(F1-J1&gt;0,"Isoprenaline sulphate","")</f>
        <v>Isoprenaline sulphate</v>
      </c>
      <c r="B43" s="167" t="s">
        <v>53</v>
      </c>
      <c r="C43" s="127" t="str">
        <f>IF((J1-J3)&gt;4380,"1-4 microg/min",IF(B4&lt;33,"0.1-1 microg/kg/min","0.05-0.5micro/kg/min"))</f>
        <v>1-4 microg/min</v>
      </c>
      <c r="D43" s="131" t="str">
        <f>IF(B4="","? weight ?",IF((J1-J3)&lt;4380,0.15*B4,3))</f>
        <v>? weight ?</v>
      </c>
      <c r="E43" s="218" t="s">
        <v>87</v>
      </c>
      <c r="F43" s="209"/>
      <c r="G43" s="209"/>
      <c r="H43" s="209"/>
      <c r="I43" s="218" t="str">
        <f>IF((J1-J3)&lt;4380,"1ml/h = 0.1 microg/kg/min","1ml/h = 1microg/min")</f>
        <v>1ml/h = 1microg/min</v>
      </c>
      <c r="J43" s="219"/>
      <c r="K43" s="92"/>
    </row>
    <row r="44" spans="1:11" ht="12.75">
      <c r="A44" s="111" t="str">
        <f>IF(F1-J1&gt;0,"Milrinone","")</f>
        <v>Milrinone</v>
      </c>
      <c r="B44" s="167"/>
      <c r="C44" s="127" t="s">
        <v>56</v>
      </c>
      <c r="D44" s="131" t="str">
        <f>IF(B4="","? weight ?",IF(B4&lt;67,B4*0.75,B4*0.6))</f>
        <v>? weight ?</v>
      </c>
      <c r="E44" s="218" t="s">
        <v>83</v>
      </c>
      <c r="F44" s="209"/>
      <c r="G44" s="209"/>
      <c r="H44" s="209"/>
      <c r="I44" s="129" t="str">
        <f>IF(B4&lt;67,"1ml/h = 0.25 microg/kg/min","1ml/h = 0.2 microg/kg/min")</f>
        <v>1ml/h = 0.25 microg/kg/min</v>
      </c>
      <c r="J44" s="130"/>
      <c r="K44" s="92"/>
    </row>
    <row r="45" spans="1:11" ht="12.75">
      <c r="A45" s="107" t="str">
        <f>IF(F1-J1&gt;0,"Vasopressin (Argipressin)","")</f>
        <v>Vasopressin (Argipressin)</v>
      </c>
      <c r="B45" s="166" t="s">
        <v>53</v>
      </c>
      <c r="C45" s="108" t="s">
        <v>40</v>
      </c>
      <c r="D45" s="131" t="str">
        <f>IF(B4="","? weight ?",0.9*B4)</f>
        <v>? weight ?</v>
      </c>
      <c r="E45" s="218" t="s">
        <v>88</v>
      </c>
      <c r="F45" s="209"/>
      <c r="G45" s="209"/>
      <c r="H45" s="209"/>
      <c r="I45" s="109" t="s">
        <v>41</v>
      </c>
      <c r="J45" s="110"/>
      <c r="K45" s="92"/>
    </row>
    <row r="46" spans="1:11" ht="12.75">
      <c r="A46" s="107" t="str">
        <f>IF(F1-J1&gt;0,"Glyceryl Trinitrate","")</f>
        <v>Glyceryl Trinitrate</v>
      </c>
      <c r="B46" s="166"/>
      <c r="C46" s="126" t="s">
        <v>48</v>
      </c>
      <c r="D46" s="131" t="str">
        <f>IF(B4="","? weight ?","1")</f>
        <v>? weight ?</v>
      </c>
      <c r="E46" s="108">
        <f>IF(B4="","","mg/ml (Neat)")</f>
      </c>
      <c r="F46" s="250">
        <f>IF(B4="","",0.06*B4)</f>
      </c>
      <c r="G46" s="250"/>
      <c r="H46" s="250"/>
      <c r="I46" s="218" t="s">
        <v>73</v>
      </c>
      <c r="J46" s="219"/>
      <c r="K46" s="92"/>
    </row>
    <row r="47" spans="1:11" ht="12.75">
      <c r="A47" s="107" t="str">
        <f>IF(F1-J1&gt;0,"Sodium Nitroprusside","")</f>
        <v>Sodium Nitroprusside</v>
      </c>
      <c r="B47" s="166"/>
      <c r="C47" s="126" t="str">
        <f>IF((J1-J3)&lt;29,"0.5-4 microg/kg/min","0.5-8 microg/kg/min")</f>
        <v>0.5-8 microg/kg/min</v>
      </c>
      <c r="D47" s="131" t="str">
        <f>IF(B4="","? weight ?",IF(B4&gt;30,B4*1.5,B4*3))</f>
        <v>? weight ?</v>
      </c>
      <c r="E47" s="218" t="s">
        <v>89</v>
      </c>
      <c r="F47" s="209"/>
      <c r="G47" s="209"/>
      <c r="H47" s="209"/>
      <c r="I47" s="218" t="str">
        <f>IF(B4&lt;=30,"1ml/h = 1 microg/kg/min","1ml/h = 0.5 microg/kg/min")</f>
        <v>1ml/h = 1 microg/kg/min</v>
      </c>
      <c r="J47" s="219"/>
      <c r="K47" s="92"/>
    </row>
    <row r="48" spans="1:11" ht="12.75">
      <c r="A48" s="105" t="str">
        <f>IF(F1-J1&gt;0,IF(B4&gt;50,"Fentanyl","Fentanyl (50microg/ml)"),"")</f>
        <v>Fentanyl (50microg/ml)</v>
      </c>
      <c r="B48" s="167">
        <f>IF((J1-J3)&lt;28,"g","")</f>
      </c>
      <c r="C48" s="121" t="str">
        <f>IF((J1-J3)&lt;=28,"1-5 microg/kg/h","1-10 microg/kg/h")</f>
        <v>1-10 microg/kg/h</v>
      </c>
      <c r="D48" s="150" t="str">
        <f>IF(B4="","? weight ?",IF(B4&lt;50,B4*50,B4*0.1))</f>
        <v>? weight ?</v>
      </c>
      <c r="E48" s="234" t="str">
        <f>IF(B4&lt;50,"microg made up to 50ml with D5W or 0.9%","ml/h = 5microg/kg/h = 0.1ml/kg/h")</f>
        <v>microg made up to 50ml with D5W or 0.9%</v>
      </c>
      <c r="F48" s="207"/>
      <c r="G48" s="207"/>
      <c r="H48" s="207"/>
      <c r="I48" s="215" t="str">
        <f>IF(B4&lt;50,"1ml/h = 1microg/kg/h","")</f>
        <v>1ml/h = 1microg/kg/h</v>
      </c>
      <c r="J48" s="238"/>
      <c r="K48" s="92"/>
    </row>
    <row r="49" spans="1:11" ht="12.75">
      <c r="A49" s="194" t="str">
        <f>IF(F1-J1&gt;0,"Ketamine (ANAESTHETIC)","")</f>
        <v>Ketamine (ANAESTHETIC)</v>
      </c>
      <c r="B49" s="166" t="s">
        <v>58</v>
      </c>
      <c r="C49" s="128" t="str">
        <f>IF(J1-J3&lt;28,"1-8 microg/kg/min","5-45microg/kg/min")</f>
        <v>5-45microg/kg/min</v>
      </c>
      <c r="D49" s="143" t="str">
        <f>IF(B4="","? weight ?",IF(J3="","? dob ?",IF(B4&lt;83,B4*15,50)))</f>
        <v>? weight ?</v>
      </c>
      <c r="E49" s="208" t="str">
        <f>IF(B4&lt;83,"mg made up to 25ml with 0.9%","mg/ml (Neat)")</f>
        <v>mg made up to 25ml with 0.9%</v>
      </c>
      <c r="F49" s="209"/>
      <c r="G49" s="209"/>
      <c r="H49" s="209"/>
      <c r="I49" s="141" t="str">
        <f>IF(B4&lt;83,"1ml/h",(B4*6)/500)</f>
        <v>1ml/h</v>
      </c>
      <c r="J49" s="145" t="str">
        <f>IF(B4&lt;83,"= 10 microg/kg/min"," ml/h = 10microg/kg/min")</f>
        <v>= 10 microg/kg/min</v>
      </c>
      <c r="K49" s="144"/>
    </row>
    <row r="50" spans="1:11" ht="12.75">
      <c r="A50" s="105" t="str">
        <f>IF(F1-J1&gt;0,"Morphine","")</f>
        <v>Morphine</v>
      </c>
      <c r="B50" s="168"/>
      <c r="C50" s="128" t="str">
        <f>IF(B4&gt;=60,"0.8-3.0 mg/h","5-60 microg/kg/h")</f>
        <v>5-60 microg/kg/h</v>
      </c>
      <c r="D50" s="143" t="str">
        <f>IF(B4="","? weight ?",B4)</f>
        <v>? weight ?</v>
      </c>
      <c r="E50" s="215" t="s">
        <v>83</v>
      </c>
      <c r="F50" s="209"/>
      <c r="G50" s="209"/>
      <c r="H50" s="209"/>
      <c r="I50" s="239" t="s">
        <v>63</v>
      </c>
      <c r="J50" s="240"/>
      <c r="K50" s="92"/>
    </row>
    <row r="51" spans="1:11" ht="12.75">
      <c r="A51" s="103" t="str">
        <f>IF(F1-J1&gt;0,"Midazolam","")</f>
        <v>Midazolam</v>
      </c>
      <c r="B51" s="167"/>
      <c r="C51" s="121">
        <f>IF(B4="","",IF(B4&lt;2.5,"NOT RECOMMENDED",IF(B4&lt;60,"60-300 microg/kg/h","1-10 mg/h")))</f>
      </c>
      <c r="D51" s="143" t="str">
        <f>IF(B4="","? weight ?",IF(B4&gt;=60,"5",IF(B4&lt;2.5,"",3*B4)))</f>
        <v>? weight ?</v>
      </c>
      <c r="E51" s="208" t="str">
        <f>IF(B4&gt;=60,"mg/ml (Neat)",IF(B4&lt;2.5," ","mg made up to 50ml with D5W or 0.9%"))</f>
        <v> </v>
      </c>
      <c r="F51" s="209"/>
      <c r="G51" s="209"/>
      <c r="H51" s="209"/>
      <c r="I51" s="184">
        <f>IF(B4&lt;2.5,"","1ml/h")</f>
      </c>
      <c r="J51" s="142">
        <f>IF(B4&lt;2.5,"",IF(B4&gt;=60,"= 5mg/h","= 60mcg/kg/hr"))</f>
      </c>
      <c r="K51" s="92"/>
    </row>
    <row r="52" spans="1:11" ht="12.75">
      <c r="A52" s="175" t="str">
        <f>IF(F1-J1&gt;0,"Thiopentone 500mg/20mlWFI","")</f>
        <v>Thiopentone 500mg/20mlWFI</v>
      </c>
      <c r="B52" s="167"/>
      <c r="C52" s="104" t="str">
        <f>IF((J1-J3)&gt;29,"1-5 mg/kg/h","1-2.5 mg/kg/h")</f>
        <v>1-5 mg/kg/h</v>
      </c>
      <c r="D52" s="143" t="str">
        <f>IF(B4="","? weight ?",0.04*B4)</f>
        <v>? weight ?</v>
      </c>
      <c r="E52" s="215" t="s">
        <v>34</v>
      </c>
      <c r="F52" s="215"/>
      <c r="G52" s="215"/>
      <c r="H52" s="215"/>
      <c r="I52" s="106"/>
      <c r="J52" s="188"/>
      <c r="K52" s="93"/>
    </row>
    <row r="53" spans="1:11" ht="12.75">
      <c r="A53" s="189" t="str">
        <f>IF(F1-J1&gt;0,"Rocuronium","")</f>
        <v>Rocuronium</v>
      </c>
      <c r="B53" s="190"/>
      <c r="C53" s="191" t="s">
        <v>81</v>
      </c>
      <c r="D53" s="192" t="str">
        <f>IF(B4="","? weight ?","10")</f>
        <v>? weight ?</v>
      </c>
      <c r="E53" s="193">
        <f>IF(B4="","","mg/ml (Neat)")</f>
      </c>
      <c r="F53" s="253">
        <f>IF(B4="","",0.03*B4)</f>
      </c>
      <c r="G53" s="253"/>
      <c r="H53" s="253"/>
      <c r="I53" s="253" t="s">
        <v>82</v>
      </c>
      <c r="J53" s="254"/>
      <c r="K53" s="93"/>
    </row>
    <row r="54" spans="1:11" ht="12.75">
      <c r="A54" s="112" t="str">
        <f>IF(F1-J1&gt;0,"Aminophylline","")</f>
        <v>Aminophylline</v>
      </c>
      <c r="B54" s="167" t="str">
        <f>IF((J1-J3)&lt;=28,"","n")</f>
        <v>n</v>
      </c>
      <c r="C54" s="102"/>
      <c r="D54" s="151" t="str">
        <f>IF(B4="","? weight ?",IF(J3="","? dob ?",IF((J1-J3)&lt;=28,"",B4*50)))</f>
        <v>? weight ?</v>
      </c>
      <c r="E54" s="210" t="str">
        <f>IF((J1-J3)&lt;=28,"",IF(B4&lt;25,"mg made up to 50ml with D5W or 0.9%","mg made up to 500ml with D5W or 0.9%"))</f>
        <v>mg made up to 50ml with D5W or 0.9%</v>
      </c>
      <c r="F54" s="211"/>
      <c r="G54" s="211"/>
      <c r="H54" s="211"/>
      <c r="I54" s="258" t="str">
        <f>IF((J1-J3)&lt;=28,"",IF(B4&lt;25,"1ml/h = 1mg/kg/h","10ml/h = 1mg/kg/h"))</f>
        <v>1ml/h = 1mg/kg/h</v>
      </c>
      <c r="J54" s="259"/>
      <c r="K54" s="92"/>
    </row>
    <row r="55" spans="1:11" ht="12.75">
      <c r="A55" s="113" t="str">
        <f>IF(F1-J1&gt;0,"250mg/10ml","")</f>
        <v>250mg/10ml</v>
      </c>
      <c r="B55" s="168"/>
      <c r="C55" s="228" t="str">
        <f>IF((J1-J3)&lt;=28,"",IF(((J1-J3)/365)&lt;12,"5-10mg/kg loading dose over 1 hour then infuse at 1mg/kg/hr","5-10mg/kg loading dose over 1 hour then infuse at 0.5mg/kg/hr"))</f>
        <v>5-10mg/kg loading dose over 1 hour then infuse at 0.5mg/kg/hr</v>
      </c>
      <c r="D55" s="223"/>
      <c r="E55" s="223"/>
      <c r="F55" s="154"/>
      <c r="G55" s="154"/>
      <c r="H55" s="154"/>
      <c r="I55" s="228"/>
      <c r="J55" s="229"/>
      <c r="K55" s="92"/>
    </row>
    <row r="56" spans="1:11" ht="12.75">
      <c r="A56" s="96" t="str">
        <f>IF(F1-J1&gt;0,"Dinoprostone PGE2 (Prostin)","")</f>
        <v>Dinoprostone PGE2 (Prostin)</v>
      </c>
      <c r="B56" s="166"/>
      <c r="C56" s="125">
        <f>IF((J1-J3)&lt;=28,"5-100 nanog/kg/min","")</f>
      </c>
      <c r="D56" s="152" t="str">
        <f>IF(J3="","? dob ?",IF(B4="","? weight ?",IF((J1-J3&lt;=28),B4*30," ")))</f>
        <v>? dob ?</v>
      </c>
      <c r="E56" s="206" t="str">
        <f>IF((J1-J3)&lt;=28,"microg made up to 50ml with D5W or 0.9%"," ")</f>
        <v> </v>
      </c>
      <c r="F56" s="207"/>
      <c r="G56" s="207"/>
      <c r="H56" s="207"/>
      <c r="I56" s="204" t="str">
        <f>IF((J1-J3)&lt;=28,"1ml/h = 10nanog/kg/min","Neonates only")</f>
        <v>Neonates only</v>
      </c>
      <c r="J56" s="205"/>
      <c r="K56" s="92"/>
    </row>
    <row r="57" spans="1:11" ht="12.75">
      <c r="A57" s="96" t="str">
        <f>IF(F1-J1&gt;0,"Salbutamol 1mg/ml","")</f>
        <v>Salbutamol 1mg/ml</v>
      </c>
      <c r="B57" s="166" t="s">
        <v>53</v>
      </c>
      <c r="C57" s="125" t="s">
        <v>48</v>
      </c>
      <c r="D57" s="152" t="str">
        <f>IF(B4="","? weight ?",B4*0.06)</f>
        <v>? weight ?</v>
      </c>
      <c r="E57" s="204" t="s">
        <v>55</v>
      </c>
      <c r="F57" s="224"/>
      <c r="G57" s="224"/>
      <c r="H57" s="224"/>
      <c r="I57" s="98"/>
      <c r="J57" s="100"/>
      <c r="K57" s="92"/>
    </row>
    <row r="58" spans="1:11" ht="12.75">
      <c r="A58" s="101" t="str">
        <f>IF(F1-J1&gt;0,"Phenobarbital","")</f>
        <v>Phenobarbital</v>
      </c>
      <c r="B58" s="167"/>
      <c r="C58" s="114" t="s">
        <v>51</v>
      </c>
      <c r="D58" s="115"/>
      <c r="E58" s="116"/>
      <c r="F58" s="116"/>
      <c r="G58" s="227" t="str">
        <f>IF(B4="","? weight ?",IF(B4&gt;50,50,B4))</f>
        <v>? weight ?</v>
      </c>
      <c r="H58" s="211"/>
      <c r="I58" s="116" t="s">
        <v>4</v>
      </c>
      <c r="J58" s="225">
        <f>IF(B4&gt;50,"Limited to 1g","")</f>
      </c>
      <c r="K58" s="93"/>
    </row>
    <row r="59" spans="1:11" ht="12.75">
      <c r="A59" s="117"/>
      <c r="B59" s="169"/>
      <c r="C59" s="118" t="s">
        <v>21</v>
      </c>
      <c r="D59" s="118"/>
      <c r="E59" s="99"/>
      <c r="F59" s="99"/>
      <c r="G59" s="99"/>
      <c r="H59" s="119">
        <f>IF(B4="","",20*G58)</f>
      </c>
      <c r="I59" s="99" t="s">
        <v>6</v>
      </c>
      <c r="J59" s="226"/>
      <c r="K59" s="93"/>
    </row>
    <row r="60" spans="1:11" ht="12.75">
      <c r="A60" s="96" t="str">
        <f>IF(F1-J1&gt;0,"Phenytoin 250mg/5ml","")</f>
        <v>Phenytoin 250mg/5ml</v>
      </c>
      <c r="B60" s="169"/>
      <c r="C60" s="186" t="s">
        <v>75</v>
      </c>
      <c r="D60" s="118"/>
      <c r="E60" s="99"/>
      <c r="F60" s="97"/>
      <c r="G60" s="251" t="str">
        <f>IF(B4="","? weight ?",IF(B4&gt;83,1500,20*B4))</f>
        <v>? weight ?</v>
      </c>
      <c r="H60" s="209"/>
      <c r="I60" s="97" t="s">
        <v>6</v>
      </c>
      <c r="J60" s="120">
        <f>IF(B4&gt;83,"Limited to 1.5g","")</f>
      </c>
      <c r="K60" s="93"/>
    </row>
    <row r="61" spans="1:11" ht="12.75">
      <c r="A61" s="96"/>
      <c r="B61" s="169"/>
      <c r="C61" s="186"/>
      <c r="D61" s="118"/>
      <c r="E61" s="99"/>
      <c r="F61" s="97"/>
      <c r="G61" s="198"/>
      <c r="H61" s="197"/>
      <c r="I61" s="97"/>
      <c r="J61" s="120"/>
      <c r="K61" s="93"/>
    </row>
    <row r="62" spans="1:11" ht="15.75">
      <c r="A62" s="69" t="str">
        <f>IF(F1-J1&gt;0,"ETT Size (mm)","")</f>
        <v>ETT Size (mm)</v>
      </c>
      <c r="B62" s="180" t="str">
        <f>IF(J3="","?dob?",IF(((J1-J3)/365)&lt;1,IF(B4="","",IF(B4&lt;0.7,"2.0",IF(B4&lt;1,"2.5",IF(B4&lt;=3,"3.0","3.5")))),((J1-J3)/1460)+4))</f>
        <v>?dob?</v>
      </c>
      <c r="C62" s="183" t="s">
        <v>67</v>
      </c>
      <c r="D62" s="71" t="s">
        <v>27</v>
      </c>
      <c r="E62" s="182" t="str">
        <f>IF(J3="","?dob?",IF(((J1-J3)/365)&lt;1,IF(B4&lt;0.7,"5.0",IF(B4&lt;1,"5.5",IF(B4&lt;2,"6",IF(B4&lt;3,"7",IF(B4&lt;3.5,"8.5",IF(B4&lt;5,"9","10")))))),IF((J1-J3)/365&lt;2,"11",IF((J1-J3)/365&lt;3,"12",IF((J1-J3)/365&lt;4,"13",ROUND(((J1-J3)/730)+12,0))))))</f>
        <v>?dob?</v>
      </c>
      <c r="F62" s="72" t="s">
        <v>28</v>
      </c>
      <c r="G62" s="73"/>
      <c r="H62" s="181" t="str">
        <f>IF(J3="","?dob?",IF(((J1-J3)/365)&lt;1,IF(B4&lt;0.7,"6.0",IF(B4&lt;1,"7.0",IF(B4&lt;2,"7.5",IF(B4&lt;3,"9",IF(B4&lt;3.5,"10.5",IF(B4&lt;5,"11","12")))))),IF((J1-J3)/365&lt;2,"14",IF((J1-J3)/365&lt;3,"15",IF((J1-J3)/365&lt;4,"16",ROUND(((J1-J3)/730)+15,0))))))</f>
        <v>?dob?</v>
      </c>
      <c r="I62" s="70"/>
      <c r="J62" s="74"/>
      <c r="K62" s="93"/>
    </row>
    <row r="63" spans="1:11" ht="12.75">
      <c r="A63" s="15" t="str">
        <f>IF(F1-J1&gt;0,"Verified by:","")</f>
        <v>Verified by:</v>
      </c>
      <c r="B63" s="56" t="s">
        <v>37</v>
      </c>
      <c r="C63" s="172"/>
      <c r="D63" s="56" t="s">
        <v>16</v>
      </c>
      <c r="E63" s="173"/>
      <c r="F63" s="76"/>
      <c r="G63" s="15"/>
      <c r="H63" s="241" t="s">
        <v>84</v>
      </c>
      <c r="I63" s="242"/>
      <c r="J63" s="243"/>
      <c r="K63" s="93"/>
    </row>
    <row r="64" spans="1:11" ht="12.75">
      <c r="A64" s="15"/>
      <c r="B64" s="56"/>
      <c r="C64" s="95" t="s">
        <v>38</v>
      </c>
      <c r="D64" s="56"/>
      <c r="E64" s="75"/>
      <c r="F64" s="76"/>
      <c r="G64" s="15"/>
      <c r="H64" s="244" t="s">
        <v>85</v>
      </c>
      <c r="I64" s="245"/>
      <c r="J64" s="246"/>
      <c r="K64" s="93"/>
    </row>
    <row r="65" spans="1:20" ht="12.75">
      <c r="A65" s="15" t="str">
        <f>IF(F1-J1&gt;0,"Checked by:","")</f>
        <v>Checked by:</v>
      </c>
      <c r="B65" s="56" t="s">
        <v>37</v>
      </c>
      <c r="C65" s="172"/>
      <c r="D65" s="56" t="s">
        <v>16</v>
      </c>
      <c r="E65" s="174"/>
      <c r="H65" s="247" t="s">
        <v>86</v>
      </c>
      <c r="I65" s="248"/>
      <c r="J65" s="249"/>
      <c r="K65" s="135"/>
      <c r="L65" s="135"/>
      <c r="M65" s="135"/>
      <c r="N65" s="135"/>
      <c r="O65" s="135"/>
      <c r="P65" s="135"/>
      <c r="Q65" s="135"/>
      <c r="R65" s="135"/>
      <c r="S65" s="135"/>
      <c r="T65" s="135"/>
    </row>
    <row r="66" spans="3:19" ht="12.75">
      <c r="C66" s="2" t="s">
        <v>39</v>
      </c>
      <c r="J66" s="140" t="s">
        <v>44</v>
      </c>
      <c r="K66" s="134"/>
      <c r="L66" s="134"/>
      <c r="M66" s="134"/>
      <c r="N66" s="134"/>
      <c r="O66" s="134"/>
      <c r="P66" s="134"/>
      <c r="Q66" s="134"/>
      <c r="R66" s="134"/>
      <c r="S66" s="134"/>
    </row>
    <row r="67" spans="1:11" ht="12.75">
      <c r="A67" s="139" t="s">
        <v>54</v>
      </c>
      <c r="C67" s="139" t="s">
        <v>59</v>
      </c>
      <c r="E67" s="232" t="s">
        <v>105</v>
      </c>
      <c r="F67" s="252"/>
      <c r="G67" s="252"/>
      <c r="H67" s="252"/>
      <c r="I67" s="252"/>
      <c r="J67" s="252"/>
      <c r="K67" s="88"/>
    </row>
    <row r="68" ht="12.75">
      <c r="K68" s="88"/>
    </row>
    <row r="69" ht="12.75">
      <c r="K69" s="88"/>
    </row>
    <row r="70" ht="12.75">
      <c r="K70" s="88"/>
    </row>
    <row r="71" ht="12.75">
      <c r="K71" s="88"/>
    </row>
    <row r="72" ht="12.75">
      <c r="K72" s="88"/>
    </row>
    <row r="73" ht="12.75">
      <c r="K73" s="88"/>
    </row>
    <row r="74" ht="12.75">
      <c r="K74" s="88"/>
    </row>
    <row r="75" ht="12.75">
      <c r="K75" s="88"/>
    </row>
  </sheetData>
  <sheetProtection password="FFE6" sheet="1" selectLockedCells="1"/>
  <mergeCells count="48">
    <mergeCell ref="E67:J67"/>
    <mergeCell ref="I53:J53"/>
    <mergeCell ref="F53:H53"/>
    <mergeCell ref="A5:J5"/>
    <mergeCell ref="A26:B26"/>
    <mergeCell ref="I40:J40"/>
    <mergeCell ref="I54:J54"/>
    <mergeCell ref="I33:J33"/>
    <mergeCell ref="I36:J36"/>
    <mergeCell ref="F46:H46"/>
    <mergeCell ref="H63:J63"/>
    <mergeCell ref="H64:J64"/>
    <mergeCell ref="H65:J65"/>
    <mergeCell ref="E41:H41"/>
    <mergeCell ref="E42:H42"/>
    <mergeCell ref="E43:H43"/>
    <mergeCell ref="E44:H44"/>
    <mergeCell ref="E45:H45"/>
    <mergeCell ref="E47:H47"/>
    <mergeCell ref="G60:H60"/>
    <mergeCell ref="A1:E1"/>
    <mergeCell ref="D35:J35"/>
    <mergeCell ref="E48:H48"/>
    <mergeCell ref="E49:H49"/>
    <mergeCell ref="E50:H50"/>
    <mergeCell ref="B2:E2"/>
    <mergeCell ref="I48:J48"/>
    <mergeCell ref="A36:C36"/>
    <mergeCell ref="I50:J50"/>
    <mergeCell ref="I43:J43"/>
    <mergeCell ref="A37:C37"/>
    <mergeCell ref="I46:J46"/>
    <mergeCell ref="I41:J41"/>
    <mergeCell ref="E40:H40"/>
    <mergeCell ref="E57:H57"/>
    <mergeCell ref="J58:J59"/>
    <mergeCell ref="G58:H58"/>
    <mergeCell ref="I47:J47"/>
    <mergeCell ref="C55:E55"/>
    <mergeCell ref="I55:J55"/>
    <mergeCell ref="I56:J56"/>
    <mergeCell ref="E56:H56"/>
    <mergeCell ref="E51:H51"/>
    <mergeCell ref="E54:H54"/>
    <mergeCell ref="D30:J30"/>
    <mergeCell ref="I31:J31"/>
    <mergeCell ref="I32:J32"/>
    <mergeCell ref="E52:H52"/>
  </mergeCells>
  <conditionalFormatting sqref="J19">
    <cfRule type="cellIs" priority="7" dxfId="1" operator="equal" stopIfTrue="1">
      <formula>"Limited to 4.4 mmol"</formula>
    </cfRule>
  </conditionalFormatting>
  <conditionalFormatting sqref="J25">
    <cfRule type="containsText" priority="1" dxfId="3" operator="containsText" stopIfTrue="1" text="Limted">
      <formula>NOT(ISERROR(SEARCH("Limted",J25)))</formula>
    </cfRule>
  </conditionalFormatting>
  <conditionalFormatting sqref="J16">
    <cfRule type="cellIs" priority="9" dxfId="1" operator="equal" stopIfTrue="1">
      <formula>"Limited to 3mg"</formula>
    </cfRule>
  </conditionalFormatting>
  <conditionalFormatting sqref="I56:J56">
    <cfRule type="cellIs" priority="10" dxfId="1" operator="equal" stopIfTrue="1">
      <formula>"Neonates only"</formula>
    </cfRule>
  </conditionalFormatting>
  <conditionalFormatting sqref="I41:J41">
    <cfRule type="cellIs" priority="11" dxfId="10" operator="equal" stopIfTrue="1">
      <formula>"* See BNFc *"</formula>
    </cfRule>
  </conditionalFormatting>
  <conditionalFormatting sqref="J58:J59">
    <cfRule type="cellIs" priority="12" dxfId="10" operator="equal" stopIfTrue="1">
      <formula>"Limited to 1g"</formula>
    </cfRule>
  </conditionalFormatting>
  <conditionalFormatting sqref="J60:J61">
    <cfRule type="cellIs" priority="13" dxfId="10" operator="equal" stopIfTrue="1">
      <formula>"Limited to 1.5g"</formula>
    </cfRule>
  </conditionalFormatting>
  <conditionalFormatting sqref="B2">
    <cfRule type="cellIs" priority="14" dxfId="8" operator="equal" stopIfTrue="1">
      <formula>"n"</formula>
    </cfRule>
    <cfRule type="cellIs" priority="15" dxfId="8" operator="equal" stopIfTrue="1">
      <formula>"p"</formula>
    </cfRule>
  </conditionalFormatting>
  <conditionalFormatting sqref="A5:J5">
    <cfRule type="cellIs" priority="18" dxfId="0" operator="equal" stopIfTrue="1">
      <formula>"*** Spreadsheet not verified for neonates weighing less than 1kg ***"</formula>
    </cfRule>
    <cfRule type="cellIs" priority="19" dxfId="0" operator="equal" stopIfTrue="1">
      <formula>"*** Spreadsheet not verified for children weighing greater than 80kg - Consider using lean weight ***"</formula>
    </cfRule>
  </conditionalFormatting>
  <conditionalFormatting sqref="J20">
    <cfRule type="cellIs" priority="20" dxfId="1" operator="equal" stopIfTrue="1">
      <formula>"Limited to 7.0 mmol"</formula>
    </cfRule>
    <cfRule type="cellIs" priority="21" dxfId="0" operator="equal" stopIfTrue="1">
      <formula>"*Not Recommended*"</formula>
    </cfRule>
  </conditionalFormatting>
  <conditionalFormatting sqref="J14">
    <cfRule type="containsText" priority="6" dxfId="3" operator="containsText" stopIfTrue="1" text="Limited">
      <formula>NOT(ISERROR(SEARCH("Limited",J14)))</formula>
    </cfRule>
  </conditionalFormatting>
  <conditionalFormatting sqref="A1 A36:C36">
    <cfRule type="containsText" priority="5" dxfId="2" operator="containsText" stopIfTrue="1" text="EXPIRED">
      <formula>NOT(ISERROR(SEARCH("EXPIRED",A1)))</formula>
    </cfRule>
  </conditionalFormatting>
  <conditionalFormatting sqref="J11">
    <cfRule type="cellIs" priority="2" dxfId="1" operator="equal" stopIfTrue="1">
      <formula>"Limited to 5mg"</formula>
    </cfRule>
  </conditionalFormatting>
  <conditionalFormatting sqref="J13">
    <cfRule type="cellIs" priority="3" dxfId="0" operator="equal" stopIfTrue="1">
      <formula>"*Not Recommended*"</formula>
    </cfRule>
  </conditionalFormatting>
  <dataValidations count="7">
    <dataValidation errorStyle="warning" type="date" allowBlank="1" showInputMessage="1" showErrorMessage="1" promptTitle="Date of Birth" prompt="DD-MM-YY" errorTitle="Date of Birth" error="Date must not be in future.&#10;&#10;Please note this spreadsheet is not validated for those over 18 years." sqref="J3">
      <formula1>TODAY()-6575</formula1>
      <formula2>TODAY()</formula2>
    </dataValidation>
    <dataValidation type="textLength" operator="equal" allowBlank="1" showInputMessage="1" showErrorMessage="1" promptTitle="Doctor's Name" prompt="Please enter on printed document" error="Enter name on printed sheet" sqref="C63">
      <formula1>0</formula1>
    </dataValidation>
    <dataValidation type="textLength" operator="equal" allowBlank="1" showInputMessage="1" showErrorMessage="1" promptTitle="Nurse's name" prompt="Please enter on printed document" error="Enter name on printed sheet" sqref="C65">
      <formula1>0</formula1>
    </dataValidation>
    <dataValidation type="textLength" operator="equal" allowBlank="1" showInputMessage="1" showErrorMessage="1" promptTitle="Doctor's Signature" prompt="Please sign printed document" error="Sign printed sheet" sqref="E63">
      <formula1>0</formula1>
    </dataValidation>
    <dataValidation type="textLength" operator="equal" allowBlank="1" showInputMessage="1" showErrorMessage="1" promptTitle="Nurse's Signature" prompt="Please sign printed document" error="Sign printed sheet" sqref="E65">
      <formula1>0</formula1>
    </dataValidation>
    <dataValidation errorStyle="warning" type="decimal" allowBlank="1" showInputMessage="1" showErrorMessage="1" promptTitle="Patient Weight" prompt="1-80 kg" errorTitle="Patient Weight" error="For patients &lt; 1kg or &gt; 80kg refer to BNFc" sqref="B4">
      <formula1>1</formula1>
      <formula2>80</formula2>
    </dataValidation>
    <dataValidation allowBlank="1" showInputMessage="1" showErrorMessage="1" promptTitle="Patient's Hospital Number" prompt="Please enter hospital number as additional identifier" sqref="J2"/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Peter-Marc.Fortune</dc:creator>
  <cp:keywords/>
  <dc:description/>
  <cp:lastModifiedBy>Fortune Peter-Marc (R0A) Manchester University NHS FT</cp:lastModifiedBy>
  <cp:lastPrinted>2011-10-12T10:55:12Z</cp:lastPrinted>
  <dcterms:created xsi:type="dcterms:W3CDTF">2003-02-03T12:16:03Z</dcterms:created>
  <dcterms:modified xsi:type="dcterms:W3CDTF">2023-11-20T11:20:45Z</dcterms:modified>
  <cp:category/>
  <cp:version/>
  <cp:contentType/>
  <cp:contentStatus/>
</cp:coreProperties>
</file>